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Mario\OneDrive - KOMU.CENT IVANIĆ-GRAD D.O.O\Radna površina\NO\Nadzorni odbor\03-24. sjed. NO\"/>
    </mc:Choice>
  </mc:AlternateContent>
  <xr:revisionPtr revIDLastSave="0" documentId="13_ncr:1_{1189C147-E6FC-4842-98ED-C62DF3A73C02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Plan 2025." sheetId="35" state="hidden" r:id="rId1"/>
    <sheet name="Skračeni plan -za NO" sheetId="34" state="hidden" r:id="rId2"/>
    <sheet name="PLAN ZA OBJAVU" sheetId="40" state="hidden" r:id="rId3"/>
    <sheet name="II. izmjene Financijskog plana" sheetId="41" r:id="rId4"/>
    <sheet name="Plan 2025. (2)" sheetId="43" state="hidden" r:id="rId5"/>
    <sheet name="PraviPod" sheetId="7" state="hidden" r:id="rId6"/>
  </sheets>
  <definedNames>
    <definedName name="_xlnm.Print_Titles" localSheetId="3">'II. izmjene Financijskog plana'!$3:$3</definedName>
    <definedName name="_xlnm.Print_Titles" localSheetId="0">'Plan 2025.'!$42:$43</definedName>
    <definedName name="_xlnm.Print_Titles" localSheetId="4">'Plan 2025. (2)'!$42:$43</definedName>
    <definedName name="_xlnm.Print_Titles" localSheetId="2">'PLAN ZA OBJAVU'!$3:$3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43" l="1"/>
  <c r="F7" i="43"/>
  <c r="F8" i="43"/>
  <c r="F9" i="43"/>
  <c r="F10" i="43"/>
  <c r="F11" i="43"/>
  <c r="F13" i="43"/>
  <c r="F14" i="43"/>
  <c r="F15" i="43"/>
  <c r="F16" i="43"/>
  <c r="F17" i="43"/>
  <c r="F18" i="43"/>
  <c r="F19" i="43"/>
  <c r="F20" i="43"/>
  <c r="F22" i="43"/>
  <c r="F23" i="43"/>
  <c r="F24" i="43"/>
  <c r="F25" i="43"/>
  <c r="F26" i="43"/>
  <c r="F27" i="43"/>
  <c r="F28" i="43"/>
  <c r="F29" i="43"/>
  <c r="F30" i="43"/>
  <c r="F32" i="43"/>
  <c r="F34" i="43"/>
  <c r="F35" i="43"/>
  <c r="F36" i="43"/>
  <c r="F37" i="43"/>
  <c r="F38" i="43"/>
  <c r="F39" i="43"/>
  <c r="F41" i="43"/>
  <c r="F42" i="43"/>
  <c r="F43" i="43"/>
  <c r="F46" i="43"/>
  <c r="F47" i="43"/>
  <c r="F48" i="43"/>
  <c r="F50" i="43"/>
  <c r="F51" i="43"/>
  <c r="F52" i="43"/>
  <c r="F53" i="43"/>
  <c r="F54" i="43"/>
  <c r="F55" i="43"/>
  <c r="F56" i="43"/>
  <c r="F57" i="43"/>
  <c r="F58" i="43"/>
  <c r="F59" i="43"/>
  <c r="F60" i="43"/>
  <c r="F61" i="43"/>
  <c r="F62" i="43"/>
  <c r="F63" i="43"/>
  <c r="F64" i="43"/>
  <c r="F65" i="43"/>
  <c r="F66" i="43"/>
  <c r="F67" i="43"/>
  <c r="F68" i="43"/>
  <c r="F69" i="43"/>
  <c r="F70" i="43"/>
  <c r="F71" i="43"/>
  <c r="F72" i="43"/>
  <c r="F73" i="43"/>
  <c r="F74" i="43"/>
  <c r="F75" i="43"/>
  <c r="F76" i="43"/>
  <c r="F77" i="43"/>
  <c r="F78" i="43"/>
  <c r="F79" i="43"/>
  <c r="F80" i="43"/>
  <c r="F81" i="43"/>
  <c r="F82" i="43"/>
  <c r="F83" i="43"/>
  <c r="F84" i="43"/>
  <c r="F85" i="43"/>
  <c r="F86" i="43"/>
  <c r="F87" i="43"/>
  <c r="F88" i="43"/>
  <c r="F89" i="43"/>
  <c r="F90" i="43"/>
  <c r="F91" i="43"/>
  <c r="F92" i="43"/>
  <c r="F93" i="43"/>
  <c r="F94" i="43"/>
  <c r="F95" i="43"/>
  <c r="F96" i="43"/>
  <c r="F97" i="43"/>
  <c r="F98" i="43"/>
  <c r="F99" i="43"/>
  <c r="F100" i="43"/>
  <c r="F101" i="43"/>
  <c r="F102" i="43"/>
  <c r="F103" i="43"/>
  <c r="F104" i="43"/>
  <c r="F105" i="43"/>
  <c r="F106" i="43"/>
  <c r="F107" i="43"/>
  <c r="F108" i="43"/>
  <c r="F109" i="43"/>
  <c r="F110" i="43"/>
  <c r="F111" i="43"/>
  <c r="F112" i="43"/>
  <c r="F113" i="43"/>
  <c r="F114" i="43"/>
  <c r="F115" i="43"/>
  <c r="F116" i="43"/>
  <c r="F118" i="43"/>
  <c r="F121" i="43"/>
  <c r="F123" i="43"/>
  <c r="F124" i="43"/>
  <c r="F125" i="43"/>
  <c r="F126" i="43"/>
  <c r="F127" i="43"/>
  <c r="F128" i="43"/>
  <c r="F129" i="43"/>
  <c r="F130" i="43"/>
  <c r="F131" i="43"/>
  <c r="F132" i="43"/>
  <c r="F133" i="43"/>
  <c r="F135" i="43"/>
  <c r="F136" i="43"/>
  <c r="F137" i="43"/>
  <c r="F138" i="43"/>
  <c r="F139" i="43"/>
  <c r="F140" i="43"/>
  <c r="F5" i="43"/>
  <c r="E140" i="43"/>
  <c r="G139" i="43"/>
  <c r="E139" i="43"/>
  <c r="E138" i="43"/>
  <c r="E137" i="43"/>
  <c r="D137" i="43"/>
  <c r="C137" i="43"/>
  <c r="B137" i="43"/>
  <c r="G136" i="43"/>
  <c r="E136" i="43"/>
  <c r="G134" i="43"/>
  <c r="G122" i="43" s="1"/>
  <c r="G117" i="43" s="1"/>
  <c r="E134" i="43"/>
  <c r="F134" i="43" s="1"/>
  <c r="E133" i="43"/>
  <c r="E132" i="43"/>
  <c r="E131" i="43"/>
  <c r="G130" i="43"/>
  <c r="E130" i="43"/>
  <c r="G129" i="43"/>
  <c r="E129" i="43"/>
  <c r="E128" i="43"/>
  <c r="E127" i="43"/>
  <c r="E126" i="43"/>
  <c r="E125" i="43"/>
  <c r="G124" i="43"/>
  <c r="E124" i="43"/>
  <c r="G123" i="43"/>
  <c r="E123" i="43"/>
  <c r="E122" i="43"/>
  <c r="D122" i="43"/>
  <c r="C122" i="43"/>
  <c r="F122" i="43" s="1"/>
  <c r="G121" i="43"/>
  <c r="E121" i="43"/>
  <c r="E120" i="43"/>
  <c r="F120" i="43" s="1"/>
  <c r="G119" i="43"/>
  <c r="D119" i="43"/>
  <c r="C119" i="43"/>
  <c r="E118" i="43"/>
  <c r="C118" i="43"/>
  <c r="D117" i="43"/>
  <c r="D142" i="43" s="1"/>
  <c r="G116" i="43"/>
  <c r="E116" i="43"/>
  <c r="E115" i="43"/>
  <c r="G114" i="43"/>
  <c r="E114" i="43"/>
  <c r="E113" i="43"/>
  <c r="E112" i="43"/>
  <c r="E111" i="43"/>
  <c r="E110" i="43"/>
  <c r="E109" i="43"/>
  <c r="E108" i="43"/>
  <c r="G107" i="43"/>
  <c r="E107" i="43"/>
  <c r="E106" i="43"/>
  <c r="G105" i="43"/>
  <c r="E105" i="43"/>
  <c r="E104" i="43"/>
  <c r="E102" i="43" s="1"/>
  <c r="E103" i="43"/>
  <c r="G102" i="43"/>
  <c r="D102" i="43"/>
  <c r="C102" i="43"/>
  <c r="B102" i="43"/>
  <c r="G101" i="43"/>
  <c r="E101" i="43"/>
  <c r="G100" i="43"/>
  <c r="E100" i="43"/>
  <c r="E98" i="43" s="1"/>
  <c r="E99" i="43"/>
  <c r="G98" i="43"/>
  <c r="D98" i="43"/>
  <c r="C98" i="43"/>
  <c r="B98" i="43"/>
  <c r="E97" i="43"/>
  <c r="E96" i="43"/>
  <c r="G95" i="43"/>
  <c r="E95" i="43"/>
  <c r="E93" i="43" s="1"/>
  <c r="E94" i="43"/>
  <c r="G93" i="43"/>
  <c r="D93" i="43"/>
  <c r="C93" i="43"/>
  <c r="B93" i="43"/>
  <c r="E92" i="43"/>
  <c r="G91" i="43"/>
  <c r="E91" i="43"/>
  <c r="G90" i="43"/>
  <c r="G82" i="43" s="1"/>
  <c r="G77" i="43" s="1"/>
  <c r="E90" i="43"/>
  <c r="E89" i="43"/>
  <c r="G88" i="43"/>
  <c r="E88" i="43"/>
  <c r="E87" i="43"/>
  <c r="E86" i="43"/>
  <c r="E85" i="43"/>
  <c r="E84" i="43"/>
  <c r="E82" i="43"/>
  <c r="D82" i="43"/>
  <c r="C82" i="43"/>
  <c r="B82" i="43"/>
  <c r="E81" i="43"/>
  <c r="E80" i="43"/>
  <c r="E79" i="43"/>
  <c r="G78" i="43"/>
  <c r="E78" i="43"/>
  <c r="E77" i="43" s="1"/>
  <c r="D78" i="43"/>
  <c r="C78" i="43"/>
  <c r="C77" i="43" s="1"/>
  <c r="B78" i="43"/>
  <c r="D77" i="43"/>
  <c r="B77" i="43"/>
  <c r="B142" i="43" s="1"/>
  <c r="E76" i="43"/>
  <c r="E75" i="43"/>
  <c r="G74" i="43"/>
  <c r="E74" i="43"/>
  <c r="D74" i="43"/>
  <c r="C74" i="43"/>
  <c r="B74" i="43"/>
  <c r="E72" i="43"/>
  <c r="E68" i="43" s="1"/>
  <c r="E71" i="43"/>
  <c r="G70" i="43"/>
  <c r="E70" i="43"/>
  <c r="G69" i="43"/>
  <c r="E69" i="43"/>
  <c r="G68" i="43"/>
  <c r="D68" i="43"/>
  <c r="B68" i="43"/>
  <c r="E67" i="43"/>
  <c r="G66" i="43"/>
  <c r="G62" i="43" s="1"/>
  <c r="G44" i="43" s="1"/>
  <c r="E66" i="43"/>
  <c r="E65" i="43"/>
  <c r="E64" i="43"/>
  <c r="E63" i="43"/>
  <c r="D62" i="43"/>
  <c r="C62" i="43"/>
  <c r="B62" i="43"/>
  <c r="E61" i="43"/>
  <c r="E60" i="43"/>
  <c r="E59" i="43"/>
  <c r="E58" i="43"/>
  <c r="E57" i="43"/>
  <c r="E56" i="43"/>
  <c r="E55" i="43"/>
  <c r="E54" i="43"/>
  <c r="E53" i="43"/>
  <c r="E52" i="43"/>
  <c r="E51" i="43"/>
  <c r="E50" i="43"/>
  <c r="E49" i="43"/>
  <c r="F49" i="43" s="1"/>
  <c r="G48" i="43"/>
  <c r="E48" i="43"/>
  <c r="E47" i="43"/>
  <c r="E46" i="43"/>
  <c r="G45" i="43"/>
  <c r="D45" i="43"/>
  <c r="C45" i="43"/>
  <c r="C44" i="43" s="1"/>
  <c r="B45" i="43"/>
  <c r="D44" i="43"/>
  <c r="B44" i="43"/>
  <c r="E39" i="43"/>
  <c r="G38" i="43"/>
  <c r="E38" i="43"/>
  <c r="G37" i="43"/>
  <c r="E37" i="43"/>
  <c r="E36" i="43"/>
  <c r="E35" i="43"/>
  <c r="E34" i="43"/>
  <c r="D33" i="43"/>
  <c r="D40" i="43" s="1"/>
  <c r="D141" i="43" s="1"/>
  <c r="D143" i="43" s="1"/>
  <c r="C33" i="43"/>
  <c r="C40" i="43" s="1"/>
  <c r="C141" i="43" s="1"/>
  <c r="B33" i="43"/>
  <c r="B40" i="43" s="1"/>
  <c r="B141" i="43" s="1"/>
  <c r="B143" i="43" s="1"/>
  <c r="E32" i="43"/>
  <c r="G31" i="43"/>
  <c r="G33" i="43" s="1"/>
  <c r="G40" i="43" s="1"/>
  <c r="G141" i="43" s="1"/>
  <c r="E31" i="43"/>
  <c r="E30" i="43"/>
  <c r="G29" i="43"/>
  <c r="E29" i="43"/>
  <c r="E28" i="43"/>
  <c r="E27" i="43"/>
  <c r="E26" i="43"/>
  <c r="E25" i="43"/>
  <c r="E24" i="43"/>
  <c r="E23" i="43"/>
  <c r="E22" i="43"/>
  <c r="E21" i="43"/>
  <c r="F21" i="43" s="1"/>
  <c r="E20" i="43"/>
  <c r="E19" i="43"/>
  <c r="E18" i="43"/>
  <c r="E17" i="43"/>
  <c r="E16" i="43"/>
  <c r="E15" i="43"/>
  <c r="E14" i="43"/>
  <c r="E13" i="43"/>
  <c r="E12" i="43"/>
  <c r="F12" i="43" s="1"/>
  <c r="E11" i="43"/>
  <c r="E10" i="43"/>
  <c r="E9" i="43"/>
  <c r="E8" i="43"/>
  <c r="E7" i="43"/>
  <c r="E6" i="43"/>
  <c r="E5" i="43"/>
  <c r="I65" i="41"/>
  <c r="G65" i="41"/>
  <c r="J65" i="41" s="1"/>
  <c r="D65" i="41"/>
  <c r="J64" i="41"/>
  <c r="I64" i="41"/>
  <c r="G64" i="41"/>
  <c r="D64" i="41"/>
  <c r="I63" i="41"/>
  <c r="G63" i="41"/>
  <c r="J63" i="41" s="1"/>
  <c r="D63" i="41"/>
  <c r="D62" i="41" s="1"/>
  <c r="N62" i="41"/>
  <c r="M62" i="41"/>
  <c r="L62" i="41"/>
  <c r="K62" i="41"/>
  <c r="H62" i="41"/>
  <c r="G62" i="41"/>
  <c r="I62" i="41" s="1"/>
  <c r="F62" i="41"/>
  <c r="E62" i="41"/>
  <c r="C62" i="41"/>
  <c r="J62" i="41" s="1"/>
  <c r="N61" i="41"/>
  <c r="M61" i="41"/>
  <c r="L61" i="41"/>
  <c r="K61" i="41"/>
  <c r="I61" i="41"/>
  <c r="G61" i="41"/>
  <c r="J61" i="41" s="1"/>
  <c r="D61" i="41"/>
  <c r="M60" i="41"/>
  <c r="K60" i="41"/>
  <c r="I60" i="41"/>
  <c r="G60" i="41"/>
  <c r="J60" i="41" s="1"/>
  <c r="D60" i="41"/>
  <c r="H60" i="41" s="1"/>
  <c r="N59" i="41"/>
  <c r="L59" i="41"/>
  <c r="G59" i="41"/>
  <c r="D59" i="41"/>
  <c r="M59" i="41" s="1"/>
  <c r="F58" i="41"/>
  <c r="E58" i="41"/>
  <c r="D58" i="41"/>
  <c r="C58" i="41"/>
  <c r="N57" i="41"/>
  <c r="L57" i="41"/>
  <c r="J57" i="41"/>
  <c r="G57" i="41"/>
  <c r="I57" i="41" s="1"/>
  <c r="D57" i="41"/>
  <c r="M57" i="41" s="1"/>
  <c r="N56" i="41"/>
  <c r="L56" i="41"/>
  <c r="G56" i="41"/>
  <c r="I56" i="41" s="1"/>
  <c r="D56" i="41"/>
  <c r="M56" i="41" s="1"/>
  <c r="N55" i="41"/>
  <c r="M55" i="41"/>
  <c r="L55" i="41"/>
  <c r="K55" i="41"/>
  <c r="J55" i="41"/>
  <c r="G55" i="41"/>
  <c r="I55" i="41" s="1"/>
  <c r="N54" i="41"/>
  <c r="L54" i="41"/>
  <c r="I54" i="41"/>
  <c r="G54" i="41"/>
  <c r="J54" i="41" s="1"/>
  <c r="D54" i="41"/>
  <c r="M54" i="41" s="1"/>
  <c r="N53" i="41"/>
  <c r="M53" i="41"/>
  <c r="L53" i="41"/>
  <c r="K53" i="41"/>
  <c r="I53" i="41"/>
  <c r="G53" i="41"/>
  <c r="J53" i="41" s="1"/>
  <c r="D53" i="41"/>
  <c r="N52" i="41"/>
  <c r="M52" i="41"/>
  <c r="L52" i="41"/>
  <c r="K52" i="41"/>
  <c r="E52" i="41"/>
  <c r="D52" i="41"/>
  <c r="C52" i="41"/>
  <c r="N51" i="41"/>
  <c r="M51" i="41"/>
  <c r="L51" i="41"/>
  <c r="K51" i="41"/>
  <c r="I51" i="41"/>
  <c r="G51" i="41"/>
  <c r="J51" i="41" s="1"/>
  <c r="N50" i="41"/>
  <c r="N49" i="41" s="1"/>
  <c r="L50" i="41"/>
  <c r="J50" i="41"/>
  <c r="G50" i="41"/>
  <c r="D50" i="41"/>
  <c r="M50" i="41" s="1"/>
  <c r="L49" i="41"/>
  <c r="H49" i="41"/>
  <c r="F49" i="41"/>
  <c r="D49" i="41"/>
  <c r="N48" i="41"/>
  <c r="L48" i="41"/>
  <c r="G48" i="41"/>
  <c r="I48" i="41" s="1"/>
  <c r="D48" i="41"/>
  <c r="M48" i="41" s="1"/>
  <c r="N47" i="41"/>
  <c r="L47" i="41"/>
  <c r="J47" i="41"/>
  <c r="G47" i="41"/>
  <c r="I47" i="41" s="1"/>
  <c r="D47" i="41"/>
  <c r="M47" i="41" s="1"/>
  <c r="N46" i="41"/>
  <c r="L46" i="41"/>
  <c r="G46" i="41"/>
  <c r="I46" i="41" s="1"/>
  <c r="D46" i="41"/>
  <c r="M46" i="41" s="1"/>
  <c r="N45" i="41"/>
  <c r="N43" i="41" s="1"/>
  <c r="M45" i="41"/>
  <c r="L45" i="41"/>
  <c r="L43" i="41" s="1"/>
  <c r="K45" i="41"/>
  <c r="J45" i="41"/>
  <c r="G45" i="41"/>
  <c r="I45" i="41" s="1"/>
  <c r="N44" i="41"/>
  <c r="L44" i="41"/>
  <c r="I44" i="41"/>
  <c r="G44" i="41"/>
  <c r="J44" i="41" s="1"/>
  <c r="D44" i="41"/>
  <c r="D43" i="41" s="1"/>
  <c r="D67" i="41" s="1"/>
  <c r="H43" i="41"/>
  <c r="F43" i="41"/>
  <c r="F67" i="41" s="1"/>
  <c r="E43" i="41"/>
  <c r="C43" i="41"/>
  <c r="J42" i="41"/>
  <c r="I42" i="41"/>
  <c r="J41" i="41"/>
  <c r="I41" i="41"/>
  <c r="K39" i="41"/>
  <c r="I39" i="41"/>
  <c r="F39" i="41"/>
  <c r="G39" i="41" s="1"/>
  <c r="J39" i="41" s="1"/>
  <c r="D39" i="41"/>
  <c r="M39" i="41" s="1"/>
  <c r="J38" i="41"/>
  <c r="G38" i="41"/>
  <c r="I38" i="41" s="1"/>
  <c r="F38" i="41"/>
  <c r="D38" i="41"/>
  <c r="K38" i="41" s="1"/>
  <c r="C38" i="41"/>
  <c r="J37" i="41"/>
  <c r="G37" i="41"/>
  <c r="I37" i="41" s="1"/>
  <c r="F37" i="41"/>
  <c r="D37" i="41"/>
  <c r="K37" i="41" s="1"/>
  <c r="C37" i="41"/>
  <c r="F36" i="41"/>
  <c r="G36" i="41" s="1"/>
  <c r="D36" i="41"/>
  <c r="K36" i="41" s="1"/>
  <c r="J35" i="41"/>
  <c r="G35" i="41"/>
  <c r="I35" i="41" s="1"/>
  <c r="F35" i="41"/>
  <c r="D35" i="41"/>
  <c r="K35" i="41" s="1"/>
  <c r="K34" i="41"/>
  <c r="F34" i="41"/>
  <c r="G34" i="41" s="1"/>
  <c r="D34" i="41"/>
  <c r="M34" i="41" s="1"/>
  <c r="N33" i="41"/>
  <c r="N40" i="41" s="1"/>
  <c r="N66" i="41" s="1"/>
  <c r="L33" i="41"/>
  <c r="L40" i="41" s="1"/>
  <c r="L66" i="41" s="1"/>
  <c r="H33" i="41"/>
  <c r="H40" i="41" s="1"/>
  <c r="H66" i="41" s="1"/>
  <c r="F33" i="41"/>
  <c r="F40" i="41" s="1"/>
  <c r="F66" i="41" s="1"/>
  <c r="E33" i="41"/>
  <c r="E40" i="41" s="1"/>
  <c r="E66" i="41" s="1"/>
  <c r="M32" i="41"/>
  <c r="K32" i="41"/>
  <c r="J32" i="41"/>
  <c r="G32" i="41"/>
  <c r="I32" i="41" s="1"/>
  <c r="F32" i="41"/>
  <c r="I31" i="41"/>
  <c r="G31" i="41"/>
  <c r="J31" i="41" s="1"/>
  <c r="F31" i="41"/>
  <c r="D31" i="41"/>
  <c r="K31" i="41" s="1"/>
  <c r="C31" i="41"/>
  <c r="G30" i="41"/>
  <c r="I30" i="41" s="1"/>
  <c r="F30" i="41"/>
  <c r="D30" i="41"/>
  <c r="K30" i="41" s="1"/>
  <c r="K29" i="41"/>
  <c r="F29" i="41"/>
  <c r="G29" i="41" s="1"/>
  <c r="I29" i="41" s="1"/>
  <c r="D29" i="41"/>
  <c r="M29" i="41" s="1"/>
  <c r="C29" i="41"/>
  <c r="C33" i="41" s="1"/>
  <c r="K28" i="41"/>
  <c r="F28" i="41"/>
  <c r="G28" i="41" s="1"/>
  <c r="D28" i="41"/>
  <c r="M28" i="41" s="1"/>
  <c r="G27" i="41"/>
  <c r="I27" i="41" s="1"/>
  <c r="F27" i="41"/>
  <c r="D27" i="41"/>
  <c r="K27" i="41" s="1"/>
  <c r="K26" i="41"/>
  <c r="F26" i="41"/>
  <c r="G26" i="41" s="1"/>
  <c r="D26" i="41"/>
  <c r="M26" i="41" s="1"/>
  <c r="G25" i="41"/>
  <c r="I25" i="41" s="1"/>
  <c r="F25" i="41"/>
  <c r="D25" i="41"/>
  <c r="K25" i="41" s="1"/>
  <c r="K24" i="41"/>
  <c r="J24" i="41"/>
  <c r="I24" i="41"/>
  <c r="F24" i="41"/>
  <c r="G24" i="41" s="1"/>
  <c r="D24" i="41"/>
  <c r="M24" i="41" s="1"/>
  <c r="G23" i="41"/>
  <c r="I23" i="41" s="1"/>
  <c r="F23" i="41"/>
  <c r="D23" i="41"/>
  <c r="K23" i="41" s="1"/>
  <c r="M22" i="41"/>
  <c r="K22" i="41"/>
  <c r="F22" i="41"/>
  <c r="G22" i="41" s="1"/>
  <c r="K21" i="41"/>
  <c r="F21" i="41"/>
  <c r="G21" i="41" s="1"/>
  <c r="D21" i="41"/>
  <c r="M21" i="41" s="1"/>
  <c r="M20" i="41"/>
  <c r="K20" i="41"/>
  <c r="J20" i="41"/>
  <c r="I20" i="41"/>
  <c r="G20" i="41"/>
  <c r="F20" i="41"/>
  <c r="G19" i="41"/>
  <c r="I19" i="41" s="1"/>
  <c r="F19" i="41"/>
  <c r="D19" i="41"/>
  <c r="K19" i="41" s="1"/>
  <c r="K18" i="41"/>
  <c r="F18" i="41"/>
  <c r="G18" i="41" s="1"/>
  <c r="D18" i="41"/>
  <c r="M18" i="41" s="1"/>
  <c r="J17" i="41"/>
  <c r="G17" i="41"/>
  <c r="I17" i="41" s="1"/>
  <c r="F17" i="41"/>
  <c r="D17" i="41"/>
  <c r="K17" i="41" s="1"/>
  <c r="M16" i="41"/>
  <c r="K16" i="41"/>
  <c r="F16" i="41"/>
  <c r="G16" i="41" s="1"/>
  <c r="K15" i="41"/>
  <c r="J15" i="41"/>
  <c r="I15" i="41"/>
  <c r="F15" i="41"/>
  <c r="G15" i="41" s="1"/>
  <c r="D15" i="41"/>
  <c r="M15" i="41" s="1"/>
  <c r="J14" i="41"/>
  <c r="I14" i="41"/>
  <c r="G14" i="41"/>
  <c r="F14" i="41"/>
  <c r="D14" i="41"/>
  <c r="K14" i="41" s="1"/>
  <c r="K13" i="41"/>
  <c r="F13" i="41"/>
  <c r="G13" i="41" s="1"/>
  <c r="D13" i="41"/>
  <c r="M13" i="41" s="1"/>
  <c r="J12" i="41"/>
  <c r="G12" i="41"/>
  <c r="I12" i="41" s="1"/>
  <c r="F12" i="41"/>
  <c r="D12" i="41"/>
  <c r="K12" i="41" s="1"/>
  <c r="K11" i="41"/>
  <c r="F11" i="41"/>
  <c r="G11" i="41" s="1"/>
  <c r="D11" i="41"/>
  <c r="M11" i="41" s="1"/>
  <c r="G10" i="41"/>
  <c r="I10" i="41" s="1"/>
  <c r="F10" i="41"/>
  <c r="D10" i="41"/>
  <c r="K10" i="41" s="1"/>
  <c r="K9" i="41"/>
  <c r="I9" i="41"/>
  <c r="F9" i="41"/>
  <c r="G9" i="41" s="1"/>
  <c r="J9" i="41" s="1"/>
  <c r="D9" i="41"/>
  <c r="M9" i="41" s="1"/>
  <c r="G8" i="41"/>
  <c r="I8" i="41" s="1"/>
  <c r="F8" i="41"/>
  <c r="D8" i="41"/>
  <c r="K8" i="41" s="1"/>
  <c r="K7" i="41"/>
  <c r="F7" i="41"/>
  <c r="G7" i="41" s="1"/>
  <c r="D7" i="41"/>
  <c r="M7" i="41" s="1"/>
  <c r="G6" i="41"/>
  <c r="I6" i="41" s="1"/>
  <c r="F6" i="41"/>
  <c r="D6" i="41"/>
  <c r="K6" i="41" s="1"/>
  <c r="K5" i="41"/>
  <c r="F5" i="41"/>
  <c r="G5" i="41" s="1"/>
  <c r="D5" i="41"/>
  <c r="M5" i="41" s="1"/>
  <c r="J5" i="40"/>
  <c r="G64" i="40"/>
  <c r="G65" i="40"/>
  <c r="G63" i="40"/>
  <c r="G60" i="40"/>
  <c r="G61" i="40"/>
  <c r="G59" i="40"/>
  <c r="G57" i="40"/>
  <c r="G56" i="40"/>
  <c r="G51" i="40"/>
  <c r="G53" i="40"/>
  <c r="G54" i="40"/>
  <c r="G55" i="40"/>
  <c r="G50" i="40"/>
  <c r="G45" i="40"/>
  <c r="G46" i="40"/>
  <c r="G47" i="40"/>
  <c r="G48" i="40"/>
  <c r="G44" i="40"/>
  <c r="E58" i="40"/>
  <c r="E52" i="40"/>
  <c r="G52" i="40" s="1"/>
  <c r="D52" i="40"/>
  <c r="E62" i="40"/>
  <c r="E43" i="40"/>
  <c r="F6" i="40"/>
  <c r="G6" i="40" s="1"/>
  <c r="F7" i="40"/>
  <c r="G7" i="40" s="1"/>
  <c r="F8" i="40"/>
  <c r="G8" i="40" s="1"/>
  <c r="F9" i="40"/>
  <c r="G9" i="40" s="1"/>
  <c r="F10" i="40"/>
  <c r="G10" i="40" s="1"/>
  <c r="F11" i="40"/>
  <c r="G11" i="40" s="1"/>
  <c r="F12" i="40"/>
  <c r="G12" i="40" s="1"/>
  <c r="F13" i="40"/>
  <c r="G13" i="40" s="1"/>
  <c r="F14" i="40"/>
  <c r="G14" i="40" s="1"/>
  <c r="F15" i="40"/>
  <c r="G15" i="40" s="1"/>
  <c r="F16" i="40"/>
  <c r="G16" i="40" s="1"/>
  <c r="F17" i="40"/>
  <c r="G17" i="40" s="1"/>
  <c r="F18" i="40"/>
  <c r="G18" i="40" s="1"/>
  <c r="F19" i="40"/>
  <c r="G19" i="40" s="1"/>
  <c r="F20" i="40"/>
  <c r="G20" i="40" s="1"/>
  <c r="F21" i="40"/>
  <c r="G21" i="40" s="1"/>
  <c r="F22" i="40"/>
  <c r="G22" i="40" s="1"/>
  <c r="F23" i="40"/>
  <c r="G23" i="40" s="1"/>
  <c r="F24" i="40"/>
  <c r="G24" i="40" s="1"/>
  <c r="F25" i="40"/>
  <c r="G25" i="40" s="1"/>
  <c r="F26" i="40"/>
  <c r="G26" i="40" s="1"/>
  <c r="F27" i="40"/>
  <c r="G27" i="40" s="1"/>
  <c r="F28" i="40"/>
  <c r="G28" i="40" s="1"/>
  <c r="F29" i="40"/>
  <c r="G29" i="40" s="1"/>
  <c r="F30" i="40"/>
  <c r="G30" i="40" s="1"/>
  <c r="F31" i="40"/>
  <c r="G31" i="40" s="1"/>
  <c r="F32" i="40"/>
  <c r="G32" i="40" s="1"/>
  <c r="F34" i="40"/>
  <c r="G34" i="40" s="1"/>
  <c r="F35" i="40"/>
  <c r="G35" i="40" s="1"/>
  <c r="F36" i="40"/>
  <c r="G36" i="40" s="1"/>
  <c r="F37" i="40"/>
  <c r="G37" i="40" s="1"/>
  <c r="F38" i="40"/>
  <c r="G38" i="40" s="1"/>
  <c r="F39" i="40"/>
  <c r="G39" i="40" s="1"/>
  <c r="F5" i="40"/>
  <c r="G5" i="40" s="1"/>
  <c r="B144" i="34"/>
  <c r="B121" i="34"/>
  <c r="B76" i="34"/>
  <c r="B43" i="34"/>
  <c r="B153" i="34" s="1"/>
  <c r="B32" i="34"/>
  <c r="B39" i="34" s="1"/>
  <c r="B152" i="34" s="1"/>
  <c r="E119" i="43" l="1"/>
  <c r="F119" i="43" s="1"/>
  <c r="C117" i="43"/>
  <c r="E45" i="43"/>
  <c r="F45" i="43" s="1"/>
  <c r="E62" i="43"/>
  <c r="E33" i="43"/>
  <c r="E40" i="43" s="1"/>
  <c r="E141" i="43" s="1"/>
  <c r="F141" i="43" s="1"/>
  <c r="G140" i="43"/>
  <c r="G137" i="43" s="1"/>
  <c r="G142" i="43" s="1"/>
  <c r="G143" i="43" s="1"/>
  <c r="F68" i="41"/>
  <c r="G33" i="41"/>
  <c r="J5" i="41"/>
  <c r="I5" i="41"/>
  <c r="J7" i="41"/>
  <c r="I7" i="41"/>
  <c r="J13" i="41"/>
  <c r="I13" i="41"/>
  <c r="J16" i="41"/>
  <c r="I16" i="41"/>
  <c r="J18" i="41"/>
  <c r="I18" i="41"/>
  <c r="J21" i="41"/>
  <c r="I21" i="41"/>
  <c r="J22" i="41"/>
  <c r="I22" i="41"/>
  <c r="J34" i="41"/>
  <c r="I34" i="41"/>
  <c r="K33" i="41"/>
  <c r="K40" i="41" s="1"/>
  <c r="K66" i="41" s="1"/>
  <c r="J11" i="41"/>
  <c r="I11" i="41"/>
  <c r="J26" i="41"/>
  <c r="I26" i="41"/>
  <c r="J28" i="41"/>
  <c r="I28" i="41"/>
  <c r="C40" i="41"/>
  <c r="J33" i="41"/>
  <c r="I36" i="41"/>
  <c r="J36" i="41"/>
  <c r="J6" i="41"/>
  <c r="M6" i="41"/>
  <c r="M33" i="41" s="1"/>
  <c r="M40" i="41" s="1"/>
  <c r="M66" i="41" s="1"/>
  <c r="J8" i="41"/>
  <c r="M8" i="41"/>
  <c r="J10" i="41"/>
  <c r="M10" i="41"/>
  <c r="M12" i="41"/>
  <c r="M14" i="41"/>
  <c r="M17" i="41"/>
  <c r="J19" i="41"/>
  <c r="M19" i="41"/>
  <c r="J23" i="41"/>
  <c r="M23" i="41"/>
  <c r="J25" i="41"/>
  <c r="M25" i="41"/>
  <c r="J27" i="41"/>
  <c r="M27" i="41"/>
  <c r="J30" i="41"/>
  <c r="M30" i="41"/>
  <c r="M31" i="41"/>
  <c r="D33" i="41"/>
  <c r="D40" i="41" s="1"/>
  <c r="D66" i="41" s="1"/>
  <c r="D68" i="41" s="1"/>
  <c r="N68" i="41"/>
  <c r="M35" i="41"/>
  <c r="M49" i="41"/>
  <c r="I59" i="41"/>
  <c r="G58" i="41"/>
  <c r="N60" i="41"/>
  <c r="N58" i="41" s="1"/>
  <c r="L60" i="41"/>
  <c r="L58" i="41" s="1"/>
  <c r="L67" i="41" s="1"/>
  <c r="L68" i="41" s="1"/>
  <c r="J29" i="41"/>
  <c r="M36" i="41"/>
  <c r="M37" i="41"/>
  <c r="M38" i="41"/>
  <c r="G43" i="41"/>
  <c r="K44" i="41"/>
  <c r="M44" i="41"/>
  <c r="M43" i="41" s="1"/>
  <c r="J46" i="41"/>
  <c r="J48" i="41"/>
  <c r="I50" i="41"/>
  <c r="G49" i="41"/>
  <c r="I49" i="41" s="1"/>
  <c r="C49" i="41"/>
  <c r="J49" i="41" s="1"/>
  <c r="G52" i="41"/>
  <c r="I52" i="41" s="1"/>
  <c r="E49" i="41"/>
  <c r="E67" i="41" s="1"/>
  <c r="E68" i="41" s="1"/>
  <c r="K54" i="41"/>
  <c r="J56" i="41"/>
  <c r="H58" i="41"/>
  <c r="H67" i="41" s="1"/>
  <c r="H68" i="41" s="1"/>
  <c r="M58" i="41"/>
  <c r="M67" i="41" s="1"/>
  <c r="J59" i="41"/>
  <c r="N67" i="41"/>
  <c r="K46" i="41"/>
  <c r="K47" i="41"/>
  <c r="K48" i="41"/>
  <c r="K50" i="41"/>
  <c r="K49" i="41" s="1"/>
  <c r="K56" i="41"/>
  <c r="K57" i="41"/>
  <c r="K59" i="41"/>
  <c r="K58" i="41" s="1"/>
  <c r="I5" i="40"/>
  <c r="E49" i="40"/>
  <c r="E67" i="40" s="1"/>
  <c r="B154" i="34"/>
  <c r="E117" i="43" l="1"/>
  <c r="F117" i="43" s="1"/>
  <c r="C142" i="43"/>
  <c r="E44" i="43"/>
  <c r="F44" i="43" s="1"/>
  <c r="C143" i="43"/>
  <c r="F40" i="43"/>
  <c r="F33" i="43"/>
  <c r="M68" i="41"/>
  <c r="I43" i="41"/>
  <c r="G67" i="41"/>
  <c r="I67" i="41" s="1"/>
  <c r="I58" i="41"/>
  <c r="J58" i="41"/>
  <c r="J43" i="41"/>
  <c r="J52" i="41"/>
  <c r="K43" i="41"/>
  <c r="K67" i="41" s="1"/>
  <c r="K68" i="41" s="1"/>
  <c r="C67" i="41"/>
  <c r="J40" i="41"/>
  <c r="C66" i="41"/>
  <c r="I33" i="41"/>
  <c r="G40" i="41"/>
  <c r="B143" i="35"/>
  <c r="B137" i="35"/>
  <c r="B142" i="35" s="1"/>
  <c r="B141" i="35"/>
  <c r="B77" i="35"/>
  <c r="B44" i="35"/>
  <c r="B102" i="35"/>
  <c r="B98" i="35"/>
  <c r="B93" i="35"/>
  <c r="B82" i="35"/>
  <c r="B78" i="35"/>
  <c r="B74" i="35"/>
  <c r="B68" i="35"/>
  <c r="B62" i="35"/>
  <c r="B45" i="35"/>
  <c r="B40" i="35"/>
  <c r="B33" i="35"/>
  <c r="E142" i="43" l="1"/>
  <c r="E143" i="43" s="1"/>
  <c r="F143" i="43" s="1"/>
  <c r="F142" i="43"/>
  <c r="I40" i="41"/>
  <c r="G66" i="41"/>
  <c r="C68" i="41"/>
  <c r="J67" i="41"/>
  <c r="E33" i="40"/>
  <c r="E40" i="40" s="1"/>
  <c r="E66" i="40" s="1"/>
  <c r="E68" i="40" s="1"/>
  <c r="G33" i="40"/>
  <c r="I66" i="41" l="1"/>
  <c r="G68" i="41"/>
  <c r="I68" i="41" s="1"/>
  <c r="J66" i="41"/>
  <c r="E106" i="35"/>
  <c r="J12" i="40"/>
  <c r="J14" i="40"/>
  <c r="J15" i="40"/>
  <c r="J17" i="40"/>
  <c r="J20" i="40"/>
  <c r="J24" i="40"/>
  <c r="J32" i="40"/>
  <c r="J35" i="40"/>
  <c r="J41" i="40"/>
  <c r="J42" i="40"/>
  <c r="J64" i="40"/>
  <c r="I9" i="40"/>
  <c r="I14" i="40"/>
  <c r="I15" i="40"/>
  <c r="I20" i="40"/>
  <c r="I24" i="40"/>
  <c r="I31" i="40"/>
  <c r="I41" i="40"/>
  <c r="I42" i="40"/>
  <c r="I64" i="40"/>
  <c r="I22" i="40"/>
  <c r="C62" i="40"/>
  <c r="C58" i="40"/>
  <c r="C52" i="40"/>
  <c r="C49" i="40" s="1"/>
  <c r="C43" i="40"/>
  <c r="C38" i="40"/>
  <c r="C37" i="40"/>
  <c r="C31" i="40"/>
  <c r="C29" i="40"/>
  <c r="J68" i="41" l="1"/>
  <c r="J22" i="40"/>
  <c r="C33" i="40"/>
  <c r="C67" i="40"/>
  <c r="C40" i="40" l="1"/>
  <c r="C66" i="40" l="1"/>
  <c r="C68" i="40" l="1"/>
  <c r="G139" i="35" l="1"/>
  <c r="G140" i="35" s="1"/>
  <c r="G137" i="35" s="1"/>
  <c r="G136" i="35"/>
  <c r="G134" i="35"/>
  <c r="G130" i="35"/>
  <c r="G129" i="35"/>
  <c r="G124" i="35"/>
  <c r="G123" i="35"/>
  <c r="G121" i="35"/>
  <c r="G119" i="35" s="1"/>
  <c r="G116" i="35"/>
  <c r="G114" i="35"/>
  <c r="G107" i="35"/>
  <c r="G105" i="35"/>
  <c r="G101" i="35"/>
  <c r="G100" i="35"/>
  <c r="G95" i="35"/>
  <c r="G93" i="35" s="1"/>
  <c r="G91" i="35"/>
  <c r="G82" i="35" s="1"/>
  <c r="G90" i="35"/>
  <c r="G88" i="35"/>
  <c r="G78" i="35"/>
  <c r="G74" i="35"/>
  <c r="G70" i="35"/>
  <c r="G69" i="35"/>
  <c r="G68" i="35" s="1"/>
  <c r="G66" i="35"/>
  <c r="G62" i="35"/>
  <c r="G48" i="35"/>
  <c r="G45" i="35"/>
  <c r="G44" i="35" s="1"/>
  <c r="G38" i="35"/>
  <c r="G37" i="35"/>
  <c r="G31" i="35"/>
  <c r="G29" i="35"/>
  <c r="E134" i="35"/>
  <c r="E136" i="35"/>
  <c r="G102" i="35" l="1"/>
  <c r="G98" i="35"/>
  <c r="G122" i="35"/>
  <c r="G117" i="35"/>
  <c r="G77" i="35"/>
  <c r="G33" i="35"/>
  <c r="G40" i="35" s="1"/>
  <c r="G141" i="35" s="1"/>
  <c r="G142" i="35" l="1"/>
  <c r="G143" i="35" s="1"/>
  <c r="E124" i="34" l="1"/>
  <c r="E125" i="34"/>
  <c r="E78" i="34"/>
  <c r="E79" i="34"/>
  <c r="E80" i="34"/>
  <c r="E82" i="34"/>
  <c r="E83" i="34"/>
  <c r="E84" i="34"/>
  <c r="E85" i="34"/>
  <c r="E86" i="34"/>
  <c r="E87" i="34"/>
  <c r="E88" i="34"/>
  <c r="E89" i="34"/>
  <c r="E90" i="34"/>
  <c r="E91" i="34"/>
  <c r="E92" i="34"/>
  <c r="E93" i="34"/>
  <c r="E95" i="34"/>
  <c r="E96" i="34"/>
  <c r="E97" i="34"/>
  <c r="E98" i="34"/>
  <c r="E100" i="34"/>
  <c r="E101" i="34"/>
  <c r="E102" i="34"/>
  <c r="E45" i="34"/>
  <c r="E46" i="34"/>
  <c r="E47" i="34"/>
  <c r="E48" i="34"/>
  <c r="E49" i="34"/>
  <c r="E50" i="34"/>
  <c r="E51" i="34"/>
  <c r="E52" i="34"/>
  <c r="E53" i="34"/>
  <c r="E54" i="34"/>
  <c r="E55" i="34"/>
  <c r="E56" i="34"/>
  <c r="E57" i="34"/>
  <c r="E58" i="34"/>
  <c r="E59" i="34"/>
  <c r="E61" i="34"/>
  <c r="E62" i="34"/>
  <c r="E63" i="34"/>
  <c r="E64" i="34"/>
  <c r="E67" i="34"/>
  <c r="E68" i="34"/>
  <c r="E69" i="34"/>
  <c r="E70" i="34"/>
  <c r="E71" i="34"/>
  <c r="D151" i="34"/>
  <c r="D150" i="34"/>
  <c r="D149" i="34"/>
  <c r="D122" i="34"/>
  <c r="D120" i="34"/>
  <c r="D119" i="34"/>
  <c r="D65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E19" i="34" s="1"/>
  <c r="D20" i="34"/>
  <c r="D21" i="34"/>
  <c r="D22" i="34"/>
  <c r="D23" i="34"/>
  <c r="E23" i="34" s="1"/>
  <c r="D24" i="34"/>
  <c r="D25" i="34"/>
  <c r="D26" i="34"/>
  <c r="D27" i="34"/>
  <c r="D28" i="34"/>
  <c r="D29" i="34"/>
  <c r="D30" i="34"/>
  <c r="E30" i="34" s="1"/>
  <c r="D31" i="34"/>
  <c r="E31" i="34" s="1"/>
  <c r="D4" i="34"/>
  <c r="D32" i="34" l="1"/>
  <c r="D39" i="34" s="1"/>
  <c r="D152" i="34" s="1"/>
  <c r="D144" i="34"/>
  <c r="E139" i="35" l="1"/>
  <c r="E140" i="35"/>
  <c r="E138" i="35"/>
  <c r="D137" i="35"/>
  <c r="E124" i="35"/>
  <c r="E125" i="35"/>
  <c r="E126" i="35"/>
  <c r="E127" i="35"/>
  <c r="E128" i="35"/>
  <c r="E129" i="35"/>
  <c r="E130" i="35"/>
  <c r="E131" i="35"/>
  <c r="E132" i="35"/>
  <c r="E133" i="35"/>
  <c r="E123" i="35"/>
  <c r="D122" i="35"/>
  <c r="E121" i="35"/>
  <c r="E120" i="35"/>
  <c r="D119" i="35"/>
  <c r="D123" i="34" s="1"/>
  <c r="E116" i="35"/>
  <c r="E115" i="35"/>
  <c r="E104" i="35"/>
  <c r="E105" i="35"/>
  <c r="E107" i="35"/>
  <c r="E108" i="35"/>
  <c r="E109" i="35"/>
  <c r="E110" i="35"/>
  <c r="E111" i="35"/>
  <c r="E112" i="35"/>
  <c r="E113" i="35"/>
  <c r="E114" i="35"/>
  <c r="E103" i="35"/>
  <c r="D102" i="35"/>
  <c r="E100" i="35"/>
  <c r="E101" i="35"/>
  <c r="E99" i="35"/>
  <c r="D98" i="35"/>
  <c r="E95" i="35"/>
  <c r="E96" i="35"/>
  <c r="E97" i="35"/>
  <c r="E94" i="35"/>
  <c r="D93" i="35"/>
  <c r="D94" i="34" s="1"/>
  <c r="E85" i="35"/>
  <c r="E86" i="35"/>
  <c r="E87" i="35"/>
  <c r="E88" i="35"/>
  <c r="E89" i="35"/>
  <c r="E90" i="35"/>
  <c r="E91" i="35"/>
  <c r="E92" i="35"/>
  <c r="E84" i="35"/>
  <c r="D82" i="35"/>
  <c r="D81" i="34" s="1"/>
  <c r="E80" i="35"/>
  <c r="E81" i="35"/>
  <c r="E79" i="35"/>
  <c r="D78" i="35"/>
  <c r="D77" i="34" s="1"/>
  <c r="E76" i="35"/>
  <c r="E75" i="35"/>
  <c r="D74" i="35"/>
  <c r="D72" i="34" s="1"/>
  <c r="E70" i="35"/>
  <c r="E71" i="35"/>
  <c r="E72" i="35"/>
  <c r="E69" i="35"/>
  <c r="D68" i="35"/>
  <c r="D66" i="34" s="1"/>
  <c r="E67" i="35"/>
  <c r="E64" i="35"/>
  <c r="E65" i="35"/>
  <c r="E66" i="35"/>
  <c r="E63" i="35"/>
  <c r="D62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46" i="35"/>
  <c r="D45" i="35"/>
  <c r="E35" i="35"/>
  <c r="E36" i="35"/>
  <c r="E37" i="35"/>
  <c r="E38" i="35"/>
  <c r="E39" i="35"/>
  <c r="E34" i="35"/>
  <c r="D33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5" i="35"/>
  <c r="L57" i="40"/>
  <c r="D64" i="40"/>
  <c r="D63" i="40"/>
  <c r="N57" i="40"/>
  <c r="L61" i="40"/>
  <c r="N61" i="40"/>
  <c r="N59" i="40"/>
  <c r="L59" i="40"/>
  <c r="N56" i="40"/>
  <c r="L56" i="40"/>
  <c r="N51" i="40"/>
  <c r="N52" i="40"/>
  <c r="N53" i="40"/>
  <c r="N54" i="40"/>
  <c r="N55" i="40"/>
  <c r="N50" i="40"/>
  <c r="L51" i="40"/>
  <c r="L52" i="40"/>
  <c r="L53" i="40"/>
  <c r="L54" i="40"/>
  <c r="L55" i="40"/>
  <c r="L50" i="40"/>
  <c r="N45" i="40"/>
  <c r="N46" i="40"/>
  <c r="N47" i="40"/>
  <c r="N48" i="40"/>
  <c r="N44" i="40"/>
  <c r="L45" i="40"/>
  <c r="L46" i="40"/>
  <c r="L47" i="40"/>
  <c r="L48" i="40"/>
  <c r="L44" i="40"/>
  <c r="M20" i="40"/>
  <c r="M22" i="40"/>
  <c r="K20" i="40"/>
  <c r="K22" i="40"/>
  <c r="D40" i="35" l="1"/>
  <c r="D141" i="35" s="1"/>
  <c r="F33" i="40"/>
  <c r="F40" i="40" s="1"/>
  <c r="F66" i="40" s="1"/>
  <c r="K32" i="40"/>
  <c r="I32" i="40"/>
  <c r="D44" i="34"/>
  <c r="F43" i="40"/>
  <c r="J63" i="40"/>
  <c r="I63" i="40"/>
  <c r="D103" i="34"/>
  <c r="F49" i="40"/>
  <c r="E78" i="35"/>
  <c r="E33" i="35"/>
  <c r="E40" i="35" s="1"/>
  <c r="E141" i="35" s="1"/>
  <c r="E74" i="35"/>
  <c r="E93" i="35"/>
  <c r="D44" i="35"/>
  <c r="D60" i="34"/>
  <c r="D43" i="34" s="1"/>
  <c r="D99" i="34"/>
  <c r="E98" i="35"/>
  <c r="D117" i="35"/>
  <c r="D126" i="34"/>
  <c r="D121" i="34" s="1"/>
  <c r="E62" i="35"/>
  <c r="E137" i="35"/>
  <c r="E122" i="35"/>
  <c r="E119" i="35"/>
  <c r="E102" i="35"/>
  <c r="E82" i="35"/>
  <c r="D77" i="35"/>
  <c r="E68" i="35"/>
  <c r="E45" i="35"/>
  <c r="M32" i="40"/>
  <c r="C151" i="34"/>
  <c r="E151" i="34" s="1"/>
  <c r="C150" i="34"/>
  <c r="E150" i="34" s="1"/>
  <c r="C149" i="34"/>
  <c r="E149" i="34" s="1"/>
  <c r="D65" i="40"/>
  <c r="G62" i="40" s="1"/>
  <c r="D57" i="40"/>
  <c r="D56" i="40"/>
  <c r="D46" i="40"/>
  <c r="D35" i="40"/>
  <c r="D36" i="40"/>
  <c r="D37" i="40"/>
  <c r="D38" i="40"/>
  <c r="D39" i="40"/>
  <c r="D34" i="40"/>
  <c r="D6" i="40"/>
  <c r="D7" i="40"/>
  <c r="D8" i="40"/>
  <c r="D9" i="40"/>
  <c r="J9" i="40" s="1"/>
  <c r="D10" i="40"/>
  <c r="D11" i="40"/>
  <c r="D12" i="40"/>
  <c r="I12" i="40" s="1"/>
  <c r="D13" i="40"/>
  <c r="D14" i="40"/>
  <c r="D15" i="40"/>
  <c r="D17" i="40"/>
  <c r="I17" i="40" s="1"/>
  <c r="D18" i="40"/>
  <c r="D19" i="40"/>
  <c r="D21" i="40"/>
  <c r="D23" i="40"/>
  <c r="D24" i="40"/>
  <c r="D25" i="40"/>
  <c r="D26" i="40"/>
  <c r="D27" i="40"/>
  <c r="D28" i="40"/>
  <c r="D29" i="40"/>
  <c r="D30" i="40"/>
  <c r="D31" i="40"/>
  <c r="J31" i="40" s="1"/>
  <c r="D5" i="40"/>
  <c r="C137" i="35"/>
  <c r="C118" i="35"/>
  <c r="E118" i="35" s="1"/>
  <c r="C122" i="35"/>
  <c r="D61" i="40" s="1"/>
  <c r="C33" i="35"/>
  <c r="C40" i="35" s="1"/>
  <c r="C141" i="35" s="1"/>
  <c r="C119" i="35"/>
  <c r="D60" i="40" s="1"/>
  <c r="C102" i="35"/>
  <c r="C98" i="35"/>
  <c r="D54" i="40" s="1"/>
  <c r="C93" i="35"/>
  <c r="D53" i="40" s="1"/>
  <c r="C82" i="35"/>
  <c r="C78" i="35"/>
  <c r="D50" i="40" s="1"/>
  <c r="C74" i="35"/>
  <c r="D48" i="40" s="1"/>
  <c r="C68" i="35"/>
  <c r="D47" i="40" s="1"/>
  <c r="C62" i="35"/>
  <c r="C45" i="35"/>
  <c r="N62" i="40"/>
  <c r="L62" i="40"/>
  <c r="H62" i="40"/>
  <c r="F62" i="40"/>
  <c r="F58" i="40"/>
  <c r="H33" i="40"/>
  <c r="H40" i="40" s="1"/>
  <c r="H66" i="40" s="1"/>
  <c r="I35" i="40" l="1"/>
  <c r="G49" i="40"/>
  <c r="J62" i="40"/>
  <c r="I62" i="40"/>
  <c r="J26" i="40"/>
  <c r="I26" i="40"/>
  <c r="J50" i="40"/>
  <c r="I50" i="40"/>
  <c r="J8" i="40"/>
  <c r="I8" i="40"/>
  <c r="J52" i="40"/>
  <c r="I52" i="40"/>
  <c r="J25" i="40"/>
  <c r="I25" i="40"/>
  <c r="J7" i="40"/>
  <c r="I7" i="40"/>
  <c r="I53" i="40"/>
  <c r="J53" i="40"/>
  <c r="J6" i="40"/>
  <c r="I6" i="40"/>
  <c r="J34" i="40"/>
  <c r="I34" i="40"/>
  <c r="J54" i="40"/>
  <c r="I54" i="40"/>
  <c r="J23" i="40"/>
  <c r="I23" i="40"/>
  <c r="J21" i="40"/>
  <c r="I21" i="40"/>
  <c r="J39" i="40"/>
  <c r="I39" i="40"/>
  <c r="J38" i="40"/>
  <c r="I38" i="40"/>
  <c r="I48" i="40"/>
  <c r="J48" i="40"/>
  <c r="J37" i="40"/>
  <c r="I37" i="40"/>
  <c r="J61" i="40"/>
  <c r="I61" i="40"/>
  <c r="J36" i="40"/>
  <c r="I36" i="40"/>
  <c r="J46" i="40"/>
  <c r="I46" i="40"/>
  <c r="J51" i="40"/>
  <c r="I51" i="40"/>
  <c r="J13" i="40"/>
  <c r="I13" i="40"/>
  <c r="J56" i="40"/>
  <c r="I56" i="40"/>
  <c r="J19" i="40"/>
  <c r="I19" i="40"/>
  <c r="I16" i="40"/>
  <c r="J16" i="40"/>
  <c r="J30" i="40"/>
  <c r="I30" i="40"/>
  <c r="J57" i="40"/>
  <c r="I57" i="40"/>
  <c r="J60" i="40"/>
  <c r="I60" i="40"/>
  <c r="J18" i="40"/>
  <c r="I18" i="40"/>
  <c r="J65" i="40"/>
  <c r="I65" i="40"/>
  <c r="J27" i="40"/>
  <c r="I27" i="40"/>
  <c r="J45" i="40"/>
  <c r="I45" i="40"/>
  <c r="J29" i="40"/>
  <c r="I29" i="40"/>
  <c r="J11" i="40"/>
  <c r="I11" i="40"/>
  <c r="J47" i="40"/>
  <c r="I47" i="40"/>
  <c r="J28" i="40"/>
  <c r="I28" i="40"/>
  <c r="J10" i="40"/>
  <c r="I10" i="40"/>
  <c r="D142" i="35"/>
  <c r="D143" i="35" s="1"/>
  <c r="E117" i="35"/>
  <c r="D59" i="40"/>
  <c r="E144" i="34"/>
  <c r="E77" i="35"/>
  <c r="D76" i="34"/>
  <c r="D153" i="34" s="1"/>
  <c r="D154" i="34" s="1"/>
  <c r="C44" i="35"/>
  <c r="E44" i="35"/>
  <c r="M47" i="40"/>
  <c r="K47" i="40"/>
  <c r="M50" i="40"/>
  <c r="K50" i="40"/>
  <c r="K55" i="40"/>
  <c r="M55" i="40"/>
  <c r="M48" i="40"/>
  <c r="K48" i="40"/>
  <c r="K54" i="40"/>
  <c r="M54" i="40"/>
  <c r="K53" i="40"/>
  <c r="M53" i="40"/>
  <c r="M60" i="40"/>
  <c r="K60" i="40"/>
  <c r="H60" i="40"/>
  <c r="M61" i="40"/>
  <c r="K61" i="40"/>
  <c r="M45" i="40"/>
  <c r="K45" i="40"/>
  <c r="M24" i="40"/>
  <c r="K24" i="40"/>
  <c r="M56" i="40"/>
  <c r="K56" i="40"/>
  <c r="M23" i="40"/>
  <c r="K23" i="40"/>
  <c r="M34" i="40"/>
  <c r="K34" i="40"/>
  <c r="K57" i="40"/>
  <c r="M57" i="40"/>
  <c r="M21" i="40"/>
  <c r="K21" i="40"/>
  <c r="K39" i="40"/>
  <c r="M39" i="40"/>
  <c r="K19" i="40"/>
  <c r="M19" i="40"/>
  <c r="M38" i="40"/>
  <c r="K38" i="40"/>
  <c r="K18" i="40"/>
  <c r="M18" i="40"/>
  <c r="M37" i="40"/>
  <c r="K37" i="40"/>
  <c r="M17" i="40"/>
  <c r="K17" i="40"/>
  <c r="M36" i="40"/>
  <c r="K36" i="40"/>
  <c r="K35" i="40"/>
  <c r="M35" i="40"/>
  <c r="D44" i="40"/>
  <c r="M13" i="40"/>
  <c r="K13" i="40"/>
  <c r="M46" i="40"/>
  <c r="K46" i="40"/>
  <c r="K30" i="40"/>
  <c r="M30" i="40"/>
  <c r="K12" i="40"/>
  <c r="M12" i="40"/>
  <c r="K29" i="40"/>
  <c r="M29" i="40"/>
  <c r="K28" i="40"/>
  <c r="M28" i="40"/>
  <c r="K10" i="40"/>
  <c r="M10" i="40"/>
  <c r="M27" i="40"/>
  <c r="K27" i="40"/>
  <c r="K9" i="40"/>
  <c r="M9" i="40"/>
  <c r="M26" i="40"/>
  <c r="K26" i="40"/>
  <c r="K8" i="40"/>
  <c r="M8" i="40"/>
  <c r="M25" i="40"/>
  <c r="K25" i="40"/>
  <c r="M7" i="40"/>
  <c r="K7" i="40"/>
  <c r="M31" i="40"/>
  <c r="K31" i="40"/>
  <c r="K16" i="40"/>
  <c r="M16" i="40"/>
  <c r="K51" i="40"/>
  <c r="M51" i="40"/>
  <c r="K15" i="40"/>
  <c r="M15" i="40"/>
  <c r="K14" i="40"/>
  <c r="M14" i="40"/>
  <c r="K6" i="40"/>
  <c r="M6" i="40"/>
  <c r="M5" i="40"/>
  <c r="K5" i="40"/>
  <c r="M52" i="40"/>
  <c r="K52" i="40"/>
  <c r="K11" i="40"/>
  <c r="M11" i="40"/>
  <c r="H49" i="40"/>
  <c r="H43" i="40"/>
  <c r="D62" i="40"/>
  <c r="D49" i="40"/>
  <c r="D33" i="40"/>
  <c r="C117" i="35"/>
  <c r="C77" i="35"/>
  <c r="L43" i="40"/>
  <c r="L33" i="40"/>
  <c r="L40" i="40" s="1"/>
  <c r="L66" i="40" s="1"/>
  <c r="L49" i="40"/>
  <c r="N49" i="40"/>
  <c r="N33" i="40"/>
  <c r="N40" i="40" s="1"/>
  <c r="N66" i="40" s="1"/>
  <c r="N43" i="40"/>
  <c r="F67" i="40"/>
  <c r="F68" i="40" s="1"/>
  <c r="M62" i="40"/>
  <c r="K62" i="40"/>
  <c r="D58" i="40" l="1"/>
  <c r="I55" i="40"/>
  <c r="J55" i="40"/>
  <c r="I49" i="40"/>
  <c r="J49" i="40"/>
  <c r="I33" i="40"/>
  <c r="G40" i="40"/>
  <c r="J33" i="40"/>
  <c r="J44" i="40"/>
  <c r="I44" i="40"/>
  <c r="J59" i="40"/>
  <c r="I59" i="40"/>
  <c r="G58" i="40"/>
  <c r="M59" i="40"/>
  <c r="M58" i="40" s="1"/>
  <c r="E142" i="35"/>
  <c r="E143" i="35" s="1"/>
  <c r="K59" i="40"/>
  <c r="K58" i="40" s="1"/>
  <c r="M44" i="40"/>
  <c r="M43" i="40" s="1"/>
  <c r="K44" i="40"/>
  <c r="K43" i="40" s="1"/>
  <c r="K49" i="40"/>
  <c r="N60" i="40"/>
  <c r="N58" i="40" s="1"/>
  <c r="N67" i="40" s="1"/>
  <c r="N68" i="40" s="1"/>
  <c r="L60" i="40"/>
  <c r="L58" i="40" s="1"/>
  <c r="L67" i="40" s="1"/>
  <c r="L68" i="40" s="1"/>
  <c r="H58" i="40"/>
  <c r="H67" i="40" s="1"/>
  <c r="H68" i="40" s="1"/>
  <c r="D43" i="40"/>
  <c r="D67" i="40" s="1"/>
  <c r="M49" i="40"/>
  <c r="D40" i="40"/>
  <c r="C142" i="35"/>
  <c r="C143" i="35" s="1"/>
  <c r="M33" i="40"/>
  <c r="M40" i="40" s="1"/>
  <c r="M66" i="40" s="1"/>
  <c r="K33" i="40"/>
  <c r="K40" i="40" s="1"/>
  <c r="K66" i="40" s="1"/>
  <c r="J58" i="40" l="1"/>
  <c r="I58" i="40"/>
  <c r="G66" i="40"/>
  <c r="I40" i="40"/>
  <c r="J40" i="40"/>
  <c r="K67" i="40"/>
  <c r="K68" i="40" s="1"/>
  <c r="M67" i="40"/>
  <c r="M68" i="40" s="1"/>
  <c r="D66" i="40"/>
  <c r="I66" i="40" l="1"/>
  <c r="J66" i="40"/>
  <c r="D68" i="40"/>
  <c r="C144" i="34"/>
  <c r="F121" i="34"/>
  <c r="F76" i="34"/>
  <c r="F43" i="34"/>
  <c r="F32" i="34"/>
  <c r="F39" i="34" s="1"/>
  <c r="F152" i="34" s="1"/>
  <c r="F144" i="34" l="1"/>
  <c r="F153" i="34" s="1"/>
  <c r="F154" i="34" s="1"/>
  <c r="C38" i="34"/>
  <c r="E38" i="34" s="1"/>
  <c r="C37" i="34"/>
  <c r="E37" i="34" s="1"/>
  <c r="C36" i="34"/>
  <c r="E36" i="34" s="1"/>
  <c r="C35" i="34"/>
  <c r="E35" i="34" s="1"/>
  <c r="C34" i="34"/>
  <c r="E34" i="34" s="1"/>
  <c r="C33" i="34"/>
  <c r="E33" i="34" s="1"/>
  <c r="C29" i="34"/>
  <c r="E29" i="34" s="1"/>
  <c r="C28" i="34"/>
  <c r="E28" i="34" s="1"/>
  <c r="C27" i="34"/>
  <c r="E27" i="34" s="1"/>
  <c r="C26" i="34"/>
  <c r="E26" i="34" s="1"/>
  <c r="C25" i="34"/>
  <c r="E25" i="34" s="1"/>
  <c r="C24" i="34"/>
  <c r="E24" i="34" s="1"/>
  <c r="C22" i="34"/>
  <c r="E22" i="34" s="1"/>
  <c r="C21" i="34"/>
  <c r="E21" i="34" s="1"/>
  <c r="C20" i="34"/>
  <c r="E20" i="34" s="1"/>
  <c r="C18" i="34"/>
  <c r="E18" i="34" s="1"/>
  <c r="C17" i="34"/>
  <c r="E17" i="34" s="1"/>
  <c r="C16" i="34"/>
  <c r="E16" i="34" s="1"/>
  <c r="C15" i="34"/>
  <c r="E15" i="34" s="1"/>
  <c r="C14" i="34"/>
  <c r="E14" i="34" s="1"/>
  <c r="C13" i="34"/>
  <c r="E13" i="34" s="1"/>
  <c r="C12" i="34"/>
  <c r="E12" i="34" s="1"/>
  <c r="C11" i="34"/>
  <c r="E11" i="34" s="1"/>
  <c r="C10" i="34"/>
  <c r="E10" i="34" s="1"/>
  <c r="C9" i="34"/>
  <c r="E9" i="34" s="1"/>
  <c r="C8" i="34"/>
  <c r="E8" i="34" s="1"/>
  <c r="C7" i="34"/>
  <c r="E7" i="34" s="1"/>
  <c r="C6" i="34"/>
  <c r="E6" i="34" s="1"/>
  <c r="C5" i="34"/>
  <c r="E5" i="34" s="1"/>
  <c r="C4" i="34"/>
  <c r="E4" i="34" s="1"/>
  <c r="C122" i="34"/>
  <c r="E122" i="34" s="1"/>
  <c r="C120" i="34"/>
  <c r="E120" i="34" s="1"/>
  <c r="C119" i="34"/>
  <c r="E119" i="34" s="1"/>
  <c r="C65" i="34"/>
  <c r="E65" i="34" s="1"/>
  <c r="E32" i="34" l="1"/>
  <c r="E39" i="34" s="1"/>
  <c r="E152" i="34" s="1"/>
  <c r="C60" i="34"/>
  <c r="E60" i="34" s="1"/>
  <c r="F78" i="34" l="1"/>
  <c r="F79" i="34"/>
  <c r="F80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5" i="34"/>
  <c r="F96" i="34"/>
  <c r="F97" i="34"/>
  <c r="F98" i="34"/>
  <c r="F100" i="34"/>
  <c r="F101" i="34"/>
  <c r="F102" i="34"/>
  <c r="F45" i="34"/>
  <c r="F46" i="34"/>
  <c r="F47" i="34"/>
  <c r="F48" i="34"/>
  <c r="F49" i="34"/>
  <c r="F50" i="34"/>
  <c r="F51" i="34"/>
  <c r="F52" i="34"/>
  <c r="F53" i="34"/>
  <c r="F54" i="34"/>
  <c r="F55" i="34"/>
  <c r="F56" i="34"/>
  <c r="F57" i="34"/>
  <c r="F58" i="34"/>
  <c r="F59" i="34"/>
  <c r="F61" i="34"/>
  <c r="F62" i="34"/>
  <c r="F63" i="34"/>
  <c r="F64" i="34"/>
  <c r="F67" i="34"/>
  <c r="F68" i="34"/>
  <c r="F69" i="34"/>
  <c r="F70" i="34"/>
  <c r="F71" i="34"/>
  <c r="C44" i="34" l="1"/>
  <c r="E44" i="34" s="1"/>
  <c r="C66" i="34"/>
  <c r="E66" i="34" s="1"/>
  <c r="C77" i="34"/>
  <c r="E77" i="34" s="1"/>
  <c r="C81" i="34"/>
  <c r="E81" i="34" s="1"/>
  <c r="C94" i="34"/>
  <c r="E94" i="34" s="1"/>
  <c r="C99" i="34"/>
  <c r="E99" i="34" s="1"/>
  <c r="C103" i="34"/>
  <c r="E103" i="34" s="1"/>
  <c r="C123" i="34"/>
  <c r="E123" i="34" s="1"/>
  <c r="C126" i="34"/>
  <c r="E126" i="34" s="1"/>
  <c r="E121" i="34" l="1"/>
  <c r="E76" i="34"/>
  <c r="C72" i="34"/>
  <c r="E72" i="34" s="1"/>
  <c r="E43" i="34" s="1"/>
  <c r="C121" i="34"/>
  <c r="E153" i="34" l="1"/>
  <c r="E154" i="34" s="1"/>
  <c r="C43" i="34"/>
  <c r="C76" i="34"/>
  <c r="C153" i="34" l="1"/>
  <c r="A2" i="7"/>
  <c r="B2" i="7"/>
  <c r="C2" i="7"/>
  <c r="A3" i="7"/>
  <c r="B3" i="7"/>
  <c r="C3" i="7"/>
  <c r="G3" i="7"/>
  <c r="A4" i="7"/>
  <c r="B4" i="7"/>
  <c r="C4" i="7"/>
  <c r="G4" i="7"/>
  <c r="A5" i="7"/>
  <c r="B5" i="7"/>
  <c r="C5" i="7"/>
  <c r="F5" i="7"/>
  <c r="G5" i="7"/>
  <c r="A6" i="7"/>
  <c r="B6" i="7"/>
  <c r="C6" i="7"/>
  <c r="G6" i="7"/>
  <c r="A7" i="7"/>
  <c r="B7" i="7"/>
  <c r="C7" i="7"/>
  <c r="G7" i="7"/>
  <c r="A8" i="7"/>
  <c r="B8" i="7"/>
  <c r="C8" i="7"/>
  <c r="G8" i="7"/>
  <c r="A9" i="7"/>
  <c r="B9" i="7"/>
  <c r="C9" i="7"/>
  <c r="G9" i="7"/>
  <c r="A10" i="7"/>
  <c r="B10" i="7"/>
  <c r="C10" i="7"/>
  <c r="G10" i="7"/>
  <c r="A11" i="7"/>
  <c r="B11" i="7"/>
  <c r="C11" i="7"/>
  <c r="F11" i="7" s="1"/>
  <c r="A12" i="7"/>
  <c r="B12" i="7"/>
  <c r="J12" i="7" s="1"/>
  <c r="C12" i="7"/>
  <c r="A13" i="7"/>
  <c r="F13" i="7" s="1"/>
  <c r="B13" i="7"/>
  <c r="J13" i="7" s="1"/>
  <c r="C13" i="7"/>
  <c r="A14" i="7"/>
  <c r="B14" i="7"/>
  <c r="J14" i="7" s="1"/>
  <c r="C14" i="7"/>
  <c r="A15" i="7"/>
  <c r="B15" i="7"/>
  <c r="C15" i="7"/>
  <c r="F15" i="7" s="1"/>
  <c r="A16" i="7"/>
  <c r="B16" i="7"/>
  <c r="C16" i="7"/>
  <c r="F16" i="7" s="1"/>
  <c r="A17" i="7"/>
  <c r="F17" i="7" s="1"/>
  <c r="B17" i="7"/>
  <c r="C17" i="7"/>
  <c r="J17" i="7" s="1"/>
  <c r="A18" i="7"/>
  <c r="B18" i="7"/>
  <c r="C18" i="7"/>
  <c r="G18" i="7"/>
  <c r="A19" i="7"/>
  <c r="B19" i="7"/>
  <c r="C19" i="7"/>
  <c r="A20" i="7"/>
  <c r="F20" i="7" s="1"/>
  <c r="B20" i="7"/>
  <c r="C20" i="7"/>
  <c r="G20" i="7"/>
  <c r="A21" i="7"/>
  <c r="B21" i="7"/>
  <c r="C21" i="7"/>
  <c r="G21" i="7"/>
  <c r="A22" i="7"/>
  <c r="B22" i="7"/>
  <c r="C22" i="7"/>
  <c r="G22" i="7"/>
  <c r="A23" i="7"/>
  <c r="B23" i="7"/>
  <c r="C23" i="7"/>
  <c r="G23" i="7"/>
  <c r="A24" i="7"/>
  <c r="B24" i="7"/>
  <c r="C24" i="7"/>
  <c r="A25" i="7"/>
  <c r="F25" i="7" s="1"/>
  <c r="B25" i="7"/>
  <c r="J25" i="7" s="1"/>
  <c r="C25" i="7"/>
  <c r="A26" i="7"/>
  <c r="B26" i="7"/>
  <c r="J26" i="7" s="1"/>
  <c r="C26" i="7"/>
  <c r="G26" i="7"/>
  <c r="A27" i="7"/>
  <c r="B27" i="7"/>
  <c r="J27" i="7" s="1"/>
  <c r="C27" i="7"/>
  <c r="A28" i="7"/>
  <c r="B28" i="7"/>
  <c r="C28" i="7"/>
  <c r="J28" i="7"/>
  <c r="A29" i="7"/>
  <c r="B29" i="7"/>
  <c r="C29" i="7"/>
  <c r="J29" i="7" s="1"/>
  <c r="G29" i="7"/>
  <c r="A30" i="7"/>
  <c r="B30" i="7"/>
  <c r="C30" i="7"/>
  <c r="J30" i="7" s="1"/>
  <c r="A31" i="7"/>
  <c r="B31" i="7"/>
  <c r="C31" i="7"/>
  <c r="A32" i="7"/>
  <c r="B32" i="7"/>
  <c r="J32" i="7" s="1"/>
  <c r="C32" i="7"/>
  <c r="A33" i="7"/>
  <c r="B33" i="7"/>
  <c r="F33" i="7" s="1"/>
  <c r="C33" i="7"/>
  <c r="A34" i="7"/>
  <c r="F34" i="7" s="1"/>
  <c r="B34" i="7"/>
  <c r="C34" i="7"/>
  <c r="A35" i="7"/>
  <c r="F35" i="7" s="1"/>
  <c r="B35" i="7"/>
  <c r="C35" i="7"/>
  <c r="A36" i="7"/>
  <c r="B36" i="7"/>
  <c r="J36" i="7" s="1"/>
  <c r="C36" i="7"/>
  <c r="A37" i="7"/>
  <c r="B37" i="7"/>
  <c r="C37" i="7"/>
  <c r="A38" i="7"/>
  <c r="B38" i="7"/>
  <c r="C38" i="7"/>
  <c r="F38" i="7" s="1"/>
  <c r="G38" i="7"/>
  <c r="A39" i="7"/>
  <c r="B39" i="7"/>
  <c r="C39" i="7"/>
  <c r="A40" i="7"/>
  <c r="F40" i="7" s="1"/>
  <c r="B40" i="7"/>
  <c r="C40" i="7"/>
  <c r="A41" i="7"/>
  <c r="F41" i="7" s="1"/>
  <c r="B41" i="7"/>
  <c r="J41" i="7" s="1"/>
  <c r="C41" i="7"/>
  <c r="A42" i="7"/>
  <c r="B42" i="7"/>
  <c r="J42" i="7" s="1"/>
  <c r="C42" i="7"/>
  <c r="A43" i="7"/>
  <c r="B43" i="7"/>
  <c r="C43" i="7"/>
  <c r="A44" i="7"/>
  <c r="B44" i="7"/>
  <c r="C44" i="7"/>
  <c r="A45" i="7"/>
  <c r="F45" i="7" s="1"/>
  <c r="B45" i="7"/>
  <c r="C45" i="7"/>
  <c r="A46" i="7"/>
  <c r="B46" i="7"/>
  <c r="J46" i="7" s="1"/>
  <c r="C46" i="7"/>
  <c r="F22" i="7"/>
  <c r="J31" i="7"/>
  <c r="J22" i="7"/>
  <c r="F24" i="7"/>
  <c r="J19" i="7"/>
  <c r="J7" i="7"/>
  <c r="F3" i="7"/>
  <c r="J34" i="7"/>
  <c r="J2" i="7"/>
  <c r="G37" i="7" s="1"/>
  <c r="J38" i="7"/>
  <c r="J5" i="7"/>
  <c r="J21" i="7"/>
  <c r="J3" i="7"/>
  <c r="F36" i="7"/>
  <c r="F32" i="7"/>
  <c r="F29" i="7"/>
  <c r="J33" i="7"/>
  <c r="J23" i="7"/>
  <c r="J20" i="7"/>
  <c r="F8" i="7"/>
  <c r="J6" i="7"/>
  <c r="J35" i="7"/>
  <c r="J40" i="7"/>
  <c r="F37" i="7"/>
  <c r="F23" i="7"/>
  <c r="F31" i="7"/>
  <c r="J24" i="7"/>
  <c r="J16" i="7"/>
  <c r="F14" i="7"/>
  <c r="F12" i="7"/>
  <c r="F44" i="7"/>
  <c r="F39" i="7"/>
  <c r="J37" i="7"/>
  <c r="F30" i="7"/>
  <c r="J18" i="7"/>
  <c r="J9" i="7"/>
  <c r="F2" i="7"/>
  <c r="G27" i="7"/>
  <c r="J10" i="7"/>
  <c r="F9" i="7"/>
  <c r="J45" i="7"/>
  <c r="J43" i="7"/>
  <c r="F19" i="7"/>
  <c r="J11" i="7"/>
  <c r="F10" i="7"/>
  <c r="F7" i="7"/>
  <c r="F4" i="7"/>
  <c r="F42" i="7"/>
  <c r="F21" i="7"/>
  <c r="F27" i="7"/>
  <c r="F43" i="7"/>
  <c r="J39" i="7"/>
  <c r="F28" i="7"/>
  <c r="J8" i="7"/>
  <c r="J4" i="7"/>
  <c r="F18" i="7"/>
  <c r="J44" i="7"/>
  <c r="F6" i="7"/>
  <c r="F26" i="7" l="1"/>
  <c r="J15" i="7"/>
  <c r="F46" i="7"/>
  <c r="C32" i="34" l="1"/>
  <c r="C39" i="34" s="1"/>
  <c r="C152" i="34" s="1"/>
  <c r="C154" i="34" s="1"/>
  <c r="G43" i="40"/>
  <c r="J43" i="40" l="1"/>
  <c r="I43" i="40"/>
  <c r="G67" i="40"/>
  <c r="J67" i="40" l="1"/>
  <c r="I67" i="40"/>
  <c r="G68" i="40"/>
  <c r="I68" i="40" l="1"/>
  <c r="J68" i="40"/>
</calcChain>
</file>

<file path=xl/sharedStrings.xml><?xml version="1.0" encoding="utf-8"?>
<sst xmlns="http://schemas.openxmlformats.org/spreadsheetml/2006/main" count="690" uniqueCount="236">
  <si>
    <t>&lt;OIB&gt;</t>
  </si>
  <si>
    <t>&lt;telefon&gt;</t>
  </si>
  <si>
    <t>&lt;godina&gt;</t>
  </si>
  <si>
    <t>&lt;kontrolni broj&gt;</t>
  </si>
  <si>
    <t>&lt;mjesec&gt;</t>
  </si>
  <si>
    <t>&lt;MB pripojenog 1&gt;</t>
  </si>
  <si>
    <t>&lt;MB pripojenog 2&gt;</t>
  </si>
  <si>
    <t>&lt;MB pripojenog 3&gt;</t>
  </si>
  <si>
    <t>&lt;MB stat prom 1&gt;</t>
  </si>
  <si>
    <t>&lt;MB stat prom 2&gt;</t>
  </si>
  <si>
    <t>&lt;MB stat prom 3&gt;</t>
  </si>
  <si>
    <t>&lt;telefax&gt;</t>
  </si>
  <si>
    <t>&lt;e-mail&gt;</t>
  </si>
  <si>
    <t>&lt;internet adresa&gt;</t>
  </si>
  <si>
    <t>&lt;datum zadnje revizije&gt;</t>
  </si>
  <si>
    <t>877</t>
  </si>
  <si>
    <t>KOLONA3</t>
  </si>
  <si>
    <t>OPCPOD</t>
  </si>
  <si>
    <t>STO_JE_UNUTRA</t>
  </si>
  <si>
    <t>DATUM</t>
  </si>
  <si>
    <t>&lt;naziv&gt;</t>
  </si>
  <si>
    <t>&lt;mjesto&gt;</t>
  </si>
  <si>
    <t>&lt;ulica i broj&gt;</t>
  </si>
  <si>
    <t>&lt;djelatnost&gt;</t>
  </si>
  <si>
    <t>&lt;kontakt osoba&gt;</t>
  </si>
  <si>
    <t>KOLONA1</t>
  </si>
  <si>
    <t>KOLONA2</t>
  </si>
  <si>
    <t>&lt;verzija Excela&gt;</t>
  </si>
  <si>
    <t>KONTRBR</t>
  </si>
  <si>
    <t>0</t>
  </si>
  <si>
    <t>RAZLIKE</t>
  </si>
  <si>
    <t>&lt;oznaka&gt;</t>
  </si>
  <si>
    <t>&lt;razina&gt;</t>
  </si>
  <si>
    <t>&lt;razdjel&gt;</t>
  </si>
  <si>
    <t>&lt;glava&gt;</t>
  </si>
  <si>
    <t>&lt;rkp&gt;</t>
  </si>
  <si>
    <t>&lt;vrsta posla&gt;</t>
  </si>
  <si>
    <t>&lt;ziro racun&gt;</t>
  </si>
  <si>
    <t>&lt;maticni broj&gt;</t>
  </si>
  <si>
    <t>&lt;postanski broj&gt;</t>
  </si>
  <si>
    <t>&lt;zupanija&gt;</t>
  </si>
  <si>
    <t>&lt;opcina&gt;</t>
  </si>
  <si>
    <t>&lt;sif obveze revizije&gt;</t>
  </si>
  <si>
    <t>&lt;zakonski predst drustva&gt;</t>
  </si>
  <si>
    <t>&lt;voditelj racunovodstva&gt;</t>
  </si>
  <si>
    <t>&lt;vrsta izvjestaja&gt;</t>
  </si>
  <si>
    <t>KOLONA4</t>
  </si>
  <si>
    <t>&lt;razlike&gt;</t>
  </si>
  <si>
    <t>Prihodi</t>
  </si>
  <si>
    <t>Prihod od prodaje usluga čišćenja i održavanje objekata u vlasništvu Grada</t>
  </si>
  <si>
    <t>Prihod od prodaje usluga tekućeg održavanja zelenih površina</t>
  </si>
  <si>
    <t xml:space="preserve">Prihodi od usluga-zelena čistka                                                                                 </t>
  </si>
  <si>
    <t>Prihod od prodaje usluga tarupiranja</t>
  </si>
  <si>
    <t>Prihod od prodaje usluga deratizacije i dezinsekcije</t>
  </si>
  <si>
    <t>Prihod od prodaje usluga nabave i montaže urbane opreme, dječja igrališta</t>
  </si>
  <si>
    <t>Prihod od prodaje usluga uređenja zelenih trgova</t>
  </si>
  <si>
    <t>Prihod od prodaje usluga održavanja tucaničkih cesta i bankina i poljskih putova u vl. Grada</t>
  </si>
  <si>
    <t>Prihod od prodaje usl.održ. asfalta, kolnika, nogostupa (krpanje udarnih rupa)</t>
  </si>
  <si>
    <t>Prihod od prodaje usluga zimske službe</t>
  </si>
  <si>
    <t xml:space="preserve">Prihod od prodaje usluga-mali komunalni radovi                                                </t>
  </si>
  <si>
    <t>Prihod od prodaje usluga održavanja horizontalne signalizacije</t>
  </si>
  <si>
    <t>Prihod od prodaje usluga održavanja vertikalne signalizacije i semafora</t>
  </si>
  <si>
    <t>Prihod od usluga uklanjanja arhitektonskih barijera</t>
  </si>
  <si>
    <t>Prihod od prodaje usluga - grobne naknade</t>
  </si>
  <si>
    <t xml:space="preserve">Prihod od čišćenja i održavanja objekata-ostali                                                        </t>
  </si>
  <si>
    <t>Prihodi od prodaje ostalih usluga groblja</t>
  </si>
  <si>
    <t>Prihodi od uređenja zelenih površina-ostali</t>
  </si>
  <si>
    <t>Prihod od prodaje usluga najma poslovnih prostora na tržnici</t>
  </si>
  <si>
    <t>Prihod od prodaje usluga korištenja prostora na tržnici (placovina)</t>
  </si>
  <si>
    <t>Prihod od prodaje dimnjačarskih usluga</t>
  </si>
  <si>
    <t>Prihod od prodaje knjigovodstvenih usluga</t>
  </si>
  <si>
    <t>UKUPNI PRIHODI OD USLUGA</t>
  </si>
  <si>
    <t xml:space="preserve">Prihod od aktivnih vremenskih razgraničenja-amortizacija </t>
  </si>
  <si>
    <t>Financijski prihodi-kamate,ovršne naknade,tečajne razlike</t>
  </si>
  <si>
    <t>Prihodi od naplaćenih sumnjivih i spornih potraživanja</t>
  </si>
  <si>
    <t>UKUPNO PRIHODI POSLOVANJA</t>
  </si>
  <si>
    <t>Rashodi</t>
  </si>
  <si>
    <t>2.1.Matrijalni troškovi</t>
  </si>
  <si>
    <t>Utrošeni materijal</t>
  </si>
  <si>
    <t>Utrošeni materijal za vertikalnu signalizaciju-cestovni znakovi</t>
  </si>
  <si>
    <t>Boje, lakovi, smole</t>
  </si>
  <si>
    <t>Ostali potrošni materijal</t>
  </si>
  <si>
    <t>Utrošeni materijal za tekuće održavanje-javne površine</t>
  </si>
  <si>
    <t>Utrošeni materijal za tekuće održavanje-dimnjačarstvo</t>
  </si>
  <si>
    <t>Građevinski materijal-kameni sl.</t>
  </si>
  <si>
    <t>Utrošeni materijal za zimsku službu</t>
  </si>
  <si>
    <t>Utrošeni materijal za tekuće održavanje-strojevi  i vozila</t>
  </si>
  <si>
    <t>Utrošeni materijal za tekuće održavanje-objekti,interijeri</t>
  </si>
  <si>
    <t>Nabava cvijeća, sadnog materijala, treseta i sl.</t>
  </si>
  <si>
    <t>Utrošeni materijal i sredstva za čišćenje</t>
  </si>
  <si>
    <t>Utrošena energija</t>
  </si>
  <si>
    <t>Utrošena električna energija</t>
  </si>
  <si>
    <t>Plin</t>
  </si>
  <si>
    <t>Utrošeno gorivo za teretna vozila i radne strojeve</t>
  </si>
  <si>
    <t>Utrošeno gorivo za osobne automobile</t>
  </si>
  <si>
    <t>Utrošen kancelarijski materijal</t>
  </si>
  <si>
    <t>Sitan inventar, zaštitna odjeća i auto gume</t>
  </si>
  <si>
    <t>Zaštitna odjeća i obuća</t>
  </si>
  <si>
    <t>Auto gume-teretna vozila i strojevi</t>
  </si>
  <si>
    <t>Auto gume-osobna vozila</t>
  </si>
  <si>
    <t xml:space="preserve">Ostali troškovi </t>
  </si>
  <si>
    <t>Voda za piće</t>
  </si>
  <si>
    <t>Troškovi opomena</t>
  </si>
  <si>
    <t>Ostali materijalni troškovi</t>
  </si>
  <si>
    <t>2.2.Troškovi usluga</t>
  </si>
  <si>
    <t>Troškovi telefona i poštarine</t>
  </si>
  <si>
    <t>Troškovi telefona-fiksni</t>
  </si>
  <si>
    <t>Troškovi mobitela</t>
  </si>
  <si>
    <t>Poštanski troškovi</t>
  </si>
  <si>
    <t>Usluge vanjskih izvođača radova</t>
  </si>
  <si>
    <t>Izrada dječjih i drugih igrališta, urbana oprema i sl.</t>
  </si>
  <si>
    <t>Obnova horizontalne signalizacije</t>
  </si>
  <si>
    <t>Održavanje tucaničkih cesta i poljskih putova na području grada Ivanić-Grada</t>
  </si>
  <si>
    <t>Krpanje ud. rupa na nerazvrst. asfalt. cestama i manja presvlačenja asfaltom</t>
  </si>
  <si>
    <t>Popravak raznih instalacija npr.odvoda i sl.</t>
  </si>
  <si>
    <t xml:space="preserve">Zimska služba                                                                                                                 </t>
  </si>
  <si>
    <t>Manji građevinski radovi</t>
  </si>
  <si>
    <t xml:space="preserve">Usluge tekućeg održavanja po objektima                                  </t>
  </si>
  <si>
    <t>Razne usluge popravaka i održavanja</t>
  </si>
  <si>
    <t>Usluge deratizacije i dezinsekcije</t>
  </si>
  <si>
    <t>Usluge tekućeg održavanja</t>
  </si>
  <si>
    <t>Usluge održavanja softvera i web stranica</t>
  </si>
  <si>
    <t>Usluge tekućeg održavanja osobnih vozila</t>
  </si>
  <si>
    <t>Usluga popravka i održavanja  strojeva</t>
  </si>
  <si>
    <t>Usluga popravka i održavanja teretnih vozila</t>
  </si>
  <si>
    <t>Komunalne usluge</t>
  </si>
  <si>
    <t xml:space="preserve">Komunalne usluge-smeće </t>
  </si>
  <si>
    <t>Komunalne usluge-voda i odvodnja</t>
  </si>
  <si>
    <t>Komunalna naknada-Omladinska</t>
  </si>
  <si>
    <t>Ostale usluge</t>
  </si>
  <si>
    <t>Troškovi javne nabave</t>
  </si>
  <si>
    <t>Troškovi ugovora o djelu</t>
  </si>
  <si>
    <t>Usluge projektiranja, konzultantske</t>
  </si>
  <si>
    <t>Geodetske usluge</t>
  </si>
  <si>
    <t>Odvjetničke i bilježničke usluge</t>
  </si>
  <si>
    <t>Troškovi reklame, propagande i oglašavanja</t>
  </si>
  <si>
    <t>Usluge kontrole-veterinarsko sanitarni nadzor</t>
  </si>
  <si>
    <t>Zaštita na radu</t>
  </si>
  <si>
    <t>2.3.Amortizacija</t>
  </si>
  <si>
    <t>2.4.Bruto plaće</t>
  </si>
  <si>
    <t>2.5.Ostali troškovi poslovanja</t>
  </si>
  <si>
    <t>Prijevoz na posao i s posla</t>
  </si>
  <si>
    <t>Trošak osiguranja</t>
  </si>
  <si>
    <t>Troškovi osiguranja vozila</t>
  </si>
  <si>
    <t>Troškovi osiguranja imovine i ljudi</t>
  </si>
  <si>
    <t>Ostali troškovi</t>
  </si>
  <si>
    <t>Troškovi službenih putovanja-dnevnice</t>
  </si>
  <si>
    <t>Ostali troškovi na službenom putu</t>
  </si>
  <si>
    <t>Upotreba osobnog auta u službene svrhe</t>
  </si>
  <si>
    <t>Leasing(operativni) osobnog automobila- za najam Gradu</t>
  </si>
  <si>
    <t>Troškovi ostalih materijalnih prava zaposlenih</t>
  </si>
  <si>
    <t>Izdaci za stručno osposobljavanje-seminari i usavršavanje</t>
  </si>
  <si>
    <t>Izdaci za stručnu literaturu, časopise</t>
  </si>
  <si>
    <t>Troškovi reprezentacije</t>
  </si>
  <si>
    <t>Troškovi promidžbe</t>
  </si>
  <si>
    <t>Troškovi donacija-porezno priznati</t>
  </si>
  <si>
    <t>Troškovi platnog prometa i Fine, bank.usluge</t>
  </si>
  <si>
    <t>Doprinosi i porezi-šume,turist.čl. I sl.</t>
  </si>
  <si>
    <t>Nadzorni odbor</t>
  </si>
  <si>
    <t>Troškovi sistematskih i lječničkih pregleda</t>
  </si>
  <si>
    <t>Trošak HRT pretplate</t>
  </si>
  <si>
    <t>2.6.Financijski rashodi</t>
  </si>
  <si>
    <t>Kamate na kredite banaka</t>
  </si>
  <si>
    <t>kamate iz leasing poslova</t>
  </si>
  <si>
    <t>Zatezne kamate</t>
  </si>
  <si>
    <t>Tečajne razlike-leasing</t>
  </si>
  <si>
    <t>1.UKUPNO PRIHODI POSLOVANJA</t>
  </si>
  <si>
    <t>2.UKUPNO TROŠKOVI POSLOVANJA (2.1-2.6)</t>
  </si>
  <si>
    <t xml:space="preserve">DOBIT/GUBITAK </t>
  </si>
  <si>
    <t>Najam šatora za manifestacije</t>
  </si>
  <si>
    <t>Najam vlakića</t>
  </si>
  <si>
    <t>Najam hidraulične platforme</t>
  </si>
  <si>
    <t>Manifestacije ( dani Grada, bučijada, advent)</t>
  </si>
  <si>
    <t>Prihod od prodaje usluga dekorativnog održavanja</t>
  </si>
  <si>
    <t>Prihodi od naknada štete</t>
  </si>
  <si>
    <t>Alati</t>
  </si>
  <si>
    <t xml:space="preserve">Sitan inventar </t>
  </si>
  <si>
    <t>Ostalo (plaća u naravi,, mobiteli i sl.)</t>
  </si>
  <si>
    <t>Utrošeni materijal za izradu dječjih igrališta</t>
  </si>
  <si>
    <t>Utrošeni materijal za izradu urbane opreme</t>
  </si>
  <si>
    <t>Ostali prihodi (ostalo po nalozima kom. redara i ostalih korisnika usluga)</t>
  </si>
  <si>
    <t>Toaletni papir, ručnici, ubrusi</t>
  </si>
  <si>
    <t xml:space="preserve">Prihod od najma O.S.- ostalo (oglasni prostori, štandovi i dr.) </t>
  </si>
  <si>
    <t>Prihodi od prodaje dugotrajne materijalne imovine</t>
  </si>
  <si>
    <t xml:space="preserve">Utrošeni elektromaterijal </t>
  </si>
  <si>
    <t>Usluge tekućeg  održavanja semafora</t>
  </si>
  <si>
    <t>Trošak usluge iznajmljivanja kosilica ili poljoprivredne opreme s rukovateljem</t>
  </si>
  <si>
    <t>Najam ljudi i opreme</t>
  </si>
  <si>
    <t>Najam poslovnog prostora</t>
  </si>
  <si>
    <t xml:space="preserve">Sumnjiva i sporna potraživanja </t>
  </si>
  <si>
    <t>EUR</t>
  </si>
  <si>
    <t xml:space="preserve">Prihodi od usluga radova po M.O. , održavanje domova, građevina javne odvodnje  i sl.                                                                              </t>
  </si>
  <si>
    <t>Prihod od prodaje usluga tekućeg održavanja groblja-Grad</t>
  </si>
  <si>
    <t xml:space="preserve">Investicijsko održavanje -tržnica                     </t>
  </si>
  <si>
    <t>Utrošeni materijal- beton</t>
  </si>
  <si>
    <t>Troškovi službenih putovanja-dnevnice i ostali troškovi sl.puta</t>
  </si>
  <si>
    <t>Naknada za topli obrok</t>
  </si>
  <si>
    <t>Kamate iz leasing poslova, tečajne razlike, zatezne kamate</t>
  </si>
  <si>
    <t>Auto gume</t>
  </si>
  <si>
    <t>Povećanje/Smanjenje</t>
  </si>
  <si>
    <t>Plan 2025. - Gospodarska djelatnost</t>
  </si>
  <si>
    <t>Usluge zimske službe</t>
  </si>
  <si>
    <t>Kamata po financijskom leasingu - Nabava vozila za čišćenje cesta usisavanjem putem financijskog leasinga (nabava 2024. godine - na 7 godina)</t>
  </si>
  <si>
    <t>Sve vrijednosti su iskazane u neto iznosu u eurima.</t>
  </si>
  <si>
    <t xml:space="preserve">Prihod -  (oglasni prostori, štandovi i dr.) </t>
  </si>
  <si>
    <t>Kamata po financijskom leasingu - Nabava traktora putem financijskog leasinga (nabava 2025. godine - na 5 godina)</t>
  </si>
  <si>
    <t>Povećanje/ smanjenje</t>
  </si>
  <si>
    <t>Plan 2025. g.- 1. izmjene /ožujak 2025.g.</t>
  </si>
  <si>
    <t>,</t>
  </si>
  <si>
    <t>Realizacija 31.12.2024.</t>
  </si>
  <si>
    <t>Vrijednosno usklađenje potraživanja od kupaca</t>
  </si>
  <si>
    <t>Neotpisana vrijednost rashodovane dugotrajne imovine</t>
  </si>
  <si>
    <t>Najam sanitarne opreme-kabine</t>
  </si>
  <si>
    <t>Najam ljudi i opreme (  šatori, štandovi i drugo za potrebe manifestacija)</t>
  </si>
  <si>
    <t>Plan 2025. g.- 2. izmjene /svibanj 2025.g.</t>
  </si>
  <si>
    <t>II izmjene  financijskog plana  za 2025. godine</t>
  </si>
  <si>
    <t>Plan 2025.</t>
  </si>
  <si>
    <t>II izmjene financijskog plana za 2025. godinu</t>
  </si>
  <si>
    <t>Realizacija Financ. plana za 2024. god.</t>
  </si>
  <si>
    <t>Indeks Financ. plan za 2025. god. / 4. izmj. Financ. plan za 2024. god.</t>
  </si>
  <si>
    <t>Projekcija Financ. plana za 2026. god.</t>
  </si>
  <si>
    <t>Projekcija Financ. plana za 2026. god.  gospod. djelatnost</t>
  </si>
  <si>
    <t>Projekcija Financ. plana za 2027. god.</t>
  </si>
  <si>
    <t xml:space="preserve">KOMUNALNI CENTAR IVANIĆ-GRAD d.o.o.                                                    II. izmjene Financijskog plana za 2025. godinu </t>
  </si>
  <si>
    <t>IVANIĆ-GRAD, Omladinska ulica 30</t>
  </si>
  <si>
    <t>Ove II. izmjene Financijskog plana stupaju na snagu _______ 2025. godine.</t>
  </si>
  <si>
    <t>II. izmjene Financijskog plana za 2025. godinu.</t>
  </si>
  <si>
    <t>4. izmjene Financijs. plana za 2024. godinu - listopad/ 2024. god.</t>
  </si>
  <si>
    <t>Financ. plan za 2025. god.</t>
  </si>
  <si>
    <t>Financ. plan za 2025. god. - 1. izmjene  ožujak</t>
  </si>
  <si>
    <t>Financ. plan za 2025. god. gospod. djelatn.</t>
  </si>
  <si>
    <t>Projekc. Financ. plana za 2027. god.  gospod. djelatn.</t>
  </si>
  <si>
    <t>Financ. plan za 2025. god. - 2. izmjene  lipanj</t>
  </si>
  <si>
    <t>Financ. plan za 2025. god. - 2. izm. lip./ realiz. Financ. plana za 2024. god.</t>
  </si>
  <si>
    <t>zamjena stavki</t>
  </si>
  <si>
    <t>Ove II. izmjene Financijskog plana stupaju na snagu 25.08.2025.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</si>
</sst>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color indexed="8"/>
      <name val="MS Sans Serif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9"/>
      <color theme="5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89">
    <xf numFmtId="0" fontId="0" fillId="0" borderId="0" xfId="0"/>
    <xf numFmtId="0" fontId="3" fillId="0" borderId="0" xfId="0" applyFont="1"/>
    <xf numFmtId="49" fontId="3" fillId="0" borderId="0" xfId="0" applyNumberFormat="1" applyFont="1"/>
    <xf numFmtId="4" fontId="3" fillId="0" borderId="0" xfId="0" applyNumberFormat="1" applyFont="1"/>
    <xf numFmtId="49" fontId="4" fillId="0" borderId="0" xfId="0" applyNumberFormat="1" applyFont="1" applyAlignment="1">
      <alignment horizontal="center"/>
    </xf>
    <xf numFmtId="14" fontId="0" fillId="0" borderId="0" xfId="0" applyNumberFormat="1"/>
    <xf numFmtId="49" fontId="4" fillId="0" borderId="0" xfId="0" applyNumberFormat="1" applyFont="1"/>
    <xf numFmtId="2" fontId="3" fillId="0" borderId="0" xfId="0" applyNumberFormat="1" applyFont="1"/>
    <xf numFmtId="0" fontId="2" fillId="2" borderId="0" xfId="0" applyFont="1" applyFill="1"/>
    <xf numFmtId="0" fontId="8" fillId="2" borderId="0" xfId="0" applyFont="1" applyFill="1"/>
    <xf numFmtId="0" fontId="3" fillId="0" borderId="2" xfId="0" applyFont="1" applyBorder="1"/>
    <xf numFmtId="0" fontId="7" fillId="2" borderId="0" xfId="0" applyFont="1" applyFill="1"/>
    <xf numFmtId="0" fontId="3" fillId="2" borderId="2" xfId="0" applyFont="1" applyFill="1" applyBorder="1"/>
    <xf numFmtId="0" fontId="2" fillId="3" borderId="2" xfId="0" applyFont="1" applyFill="1" applyBorder="1"/>
    <xf numFmtId="0" fontId="3" fillId="4" borderId="2" xfId="1" applyFont="1" applyFill="1" applyBorder="1"/>
    <xf numFmtId="0" fontId="11" fillId="2" borderId="2" xfId="1" applyFont="1" applyFill="1" applyBorder="1"/>
    <xf numFmtId="0" fontId="3" fillId="2" borderId="0" xfId="0" applyFont="1" applyFill="1"/>
    <xf numFmtId="0" fontId="11" fillId="2" borderId="2" xfId="1" applyFont="1" applyFill="1" applyBorder="1" applyAlignment="1">
      <alignment wrapText="1"/>
    </xf>
    <xf numFmtId="3" fontId="6" fillId="2" borderId="2" xfId="0" applyNumberFormat="1" applyFont="1" applyFill="1" applyBorder="1" applyAlignment="1">
      <alignment horizontal="right"/>
    </xf>
    <xf numFmtId="4" fontId="6" fillId="2" borderId="0" xfId="0" applyNumberFormat="1" applyFont="1" applyFill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 applyProtection="1">
      <alignment horizontal="right"/>
      <protection locked="0"/>
    </xf>
    <xf numFmtId="3" fontId="12" fillId="0" borderId="2" xfId="0" applyNumberFormat="1" applyFont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0" fontId="3" fillId="2" borderId="2" xfId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2" fillId="2" borderId="2" xfId="0" applyFont="1" applyFill="1" applyBorder="1"/>
    <xf numFmtId="4" fontId="5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13" fillId="4" borderId="2" xfId="0" applyFont="1" applyFill="1" applyBorder="1"/>
    <xf numFmtId="0" fontId="2" fillId="4" borderId="2" xfId="0" applyFont="1" applyFill="1" applyBorder="1"/>
    <xf numFmtId="3" fontId="5" fillId="4" borderId="2" xfId="0" applyNumberFormat="1" applyFont="1" applyFill="1" applyBorder="1" applyAlignment="1">
      <alignment horizontal="right"/>
    </xf>
    <xf numFmtId="3" fontId="14" fillId="4" borderId="2" xfId="0" applyNumberFormat="1" applyFont="1" applyFill="1" applyBorder="1" applyAlignment="1">
      <alignment horizontal="center" wrapText="1"/>
    </xf>
    <xf numFmtId="3" fontId="15" fillId="4" borderId="2" xfId="0" applyNumberFormat="1" applyFont="1" applyFill="1" applyBorder="1" applyAlignment="1">
      <alignment horizontal="center" wrapText="1"/>
    </xf>
    <xf numFmtId="0" fontId="3" fillId="2" borderId="2" xfId="1" applyFont="1" applyFill="1" applyBorder="1"/>
    <xf numFmtId="3" fontId="6" fillId="2" borderId="2" xfId="0" applyNumberFormat="1" applyFont="1" applyFill="1" applyBorder="1" applyAlignment="1" applyProtection="1">
      <alignment horizontal="right"/>
      <protection locked="0"/>
    </xf>
    <xf numFmtId="3" fontId="9" fillId="2" borderId="2" xfId="0" applyNumberFormat="1" applyFont="1" applyFill="1" applyBorder="1" applyAlignment="1">
      <alignment horizontal="right"/>
    </xf>
    <xf numFmtId="3" fontId="16" fillId="2" borderId="2" xfId="0" applyNumberFormat="1" applyFont="1" applyFill="1" applyBorder="1" applyAlignment="1" applyProtection="1">
      <alignment horizontal="right"/>
      <protection locked="0"/>
    </xf>
    <xf numFmtId="0" fontId="17" fillId="4" borderId="2" xfId="0" applyFont="1" applyFill="1" applyBorder="1"/>
    <xf numFmtId="0" fontId="9" fillId="2" borderId="2" xfId="1" applyFont="1" applyFill="1" applyBorder="1" applyAlignment="1">
      <alignment wrapText="1"/>
    </xf>
    <xf numFmtId="9" fontId="18" fillId="0" borderId="2" xfId="0" applyNumberFormat="1" applyFont="1" applyBorder="1" applyAlignment="1">
      <alignment wrapText="1"/>
    </xf>
    <xf numFmtId="0" fontId="9" fillId="0" borderId="2" xfId="0" applyFont="1" applyBorder="1"/>
    <xf numFmtId="0" fontId="9" fillId="2" borderId="2" xfId="0" applyFont="1" applyFill="1" applyBorder="1"/>
    <xf numFmtId="0" fontId="10" fillId="4" borderId="2" xfId="0" applyFont="1" applyFill="1" applyBorder="1"/>
    <xf numFmtId="3" fontId="10" fillId="4" borderId="2" xfId="0" applyNumberFormat="1" applyFont="1" applyFill="1" applyBorder="1" applyAlignment="1">
      <alignment horizontal="right"/>
    </xf>
    <xf numFmtId="0" fontId="9" fillId="4" borderId="2" xfId="1" applyFont="1" applyFill="1" applyBorder="1"/>
    <xf numFmtId="3" fontId="9" fillId="4" borderId="2" xfId="0" applyNumberFormat="1" applyFont="1" applyFill="1" applyBorder="1" applyAlignment="1" applyProtection="1">
      <alignment horizontal="right"/>
      <protection locked="0"/>
    </xf>
    <xf numFmtId="0" fontId="9" fillId="2" borderId="2" xfId="1" applyFont="1" applyFill="1" applyBorder="1"/>
    <xf numFmtId="3" fontId="9" fillId="2" borderId="2" xfId="0" applyNumberFormat="1" applyFont="1" applyFill="1" applyBorder="1" applyAlignment="1" applyProtection="1">
      <alignment horizontal="right"/>
      <protection locked="0"/>
    </xf>
    <xf numFmtId="0" fontId="16" fillId="2" borderId="2" xfId="1" applyFont="1" applyFill="1" applyBorder="1"/>
    <xf numFmtId="0" fontId="16" fillId="5" borderId="2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9" fontId="19" fillId="4" borderId="2" xfId="0" applyNumberFormat="1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3" fontId="16" fillId="4" borderId="2" xfId="0" applyNumberFormat="1" applyFont="1" applyFill="1" applyBorder="1" applyAlignment="1" applyProtection="1">
      <alignment horizontal="right"/>
      <protection locked="0"/>
    </xf>
    <xf numFmtId="4" fontId="14" fillId="4" borderId="2" xfId="0" applyNumberFormat="1" applyFont="1" applyFill="1" applyBorder="1" applyAlignment="1">
      <alignment horizontal="center" wrapText="1"/>
    </xf>
    <xf numFmtId="4" fontId="15" fillId="4" borderId="2" xfId="0" applyNumberFormat="1" applyFont="1" applyFill="1" applyBorder="1" applyAlignment="1">
      <alignment horizontal="center" wrapText="1"/>
    </xf>
    <xf numFmtId="4" fontId="6" fillId="2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4" fontId="5" fillId="3" borderId="2" xfId="0" applyNumberFormat="1" applyFont="1" applyFill="1" applyBorder="1" applyAlignment="1">
      <alignment horizontal="right"/>
    </xf>
    <xf numFmtId="4" fontId="6" fillId="4" borderId="2" xfId="0" applyNumberFormat="1" applyFont="1" applyFill="1" applyBorder="1" applyAlignment="1" applyProtection="1">
      <alignment horizontal="right"/>
      <protection locked="0"/>
    </xf>
    <xf numFmtId="4" fontId="12" fillId="2" borderId="2" xfId="0" applyNumberFormat="1" applyFont="1" applyFill="1" applyBorder="1" applyAlignment="1" applyProtection="1">
      <alignment horizontal="right"/>
      <protection locked="0"/>
    </xf>
    <xf numFmtId="4" fontId="12" fillId="0" borderId="2" xfId="0" applyNumberFormat="1" applyFont="1" applyBorder="1" applyAlignment="1" applyProtection="1">
      <alignment horizontal="right"/>
      <protection locked="0"/>
    </xf>
    <xf numFmtId="3" fontId="14" fillId="4" borderId="2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left"/>
    </xf>
    <xf numFmtId="3" fontId="14" fillId="6" borderId="2" xfId="0" applyNumberFormat="1" applyFont="1" applyFill="1" applyBorder="1" applyAlignment="1">
      <alignment vertical="top" wrapText="1"/>
    </xf>
    <xf numFmtId="3" fontId="15" fillId="6" borderId="2" xfId="0" applyNumberFormat="1" applyFont="1" applyFill="1" applyBorder="1" applyAlignment="1">
      <alignment horizontal="center" wrapText="1"/>
    </xf>
    <xf numFmtId="3" fontId="9" fillId="6" borderId="2" xfId="0" applyNumberFormat="1" applyFont="1" applyFill="1" applyBorder="1" applyAlignment="1">
      <alignment horizontal="right"/>
    </xf>
    <xf numFmtId="3" fontId="10" fillId="6" borderId="2" xfId="0" applyNumberFormat="1" applyFont="1" applyFill="1" applyBorder="1" applyAlignment="1">
      <alignment horizontal="right"/>
    </xf>
    <xf numFmtId="4" fontId="5" fillId="6" borderId="2" xfId="0" applyNumberFormat="1" applyFont="1" applyFill="1" applyBorder="1" applyAlignment="1">
      <alignment horizontal="right"/>
    </xf>
    <xf numFmtId="3" fontId="9" fillId="6" borderId="2" xfId="0" applyNumberFormat="1" applyFont="1" applyFill="1" applyBorder="1" applyAlignment="1" applyProtection="1">
      <alignment horizontal="right"/>
      <protection locked="0"/>
    </xf>
    <xf numFmtId="3" fontId="16" fillId="6" borderId="2" xfId="0" applyNumberFormat="1" applyFont="1" applyFill="1" applyBorder="1" applyAlignment="1" applyProtection="1">
      <alignment horizontal="right"/>
      <protection locked="0"/>
    </xf>
    <xf numFmtId="3" fontId="21" fillId="6" borderId="2" xfId="0" applyNumberFormat="1" applyFont="1" applyFill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 applyProtection="1">
      <alignment horizontal="right"/>
      <protection locked="0"/>
    </xf>
    <xf numFmtId="3" fontId="16" fillId="0" borderId="2" xfId="0" applyNumberFormat="1" applyFont="1" applyBorder="1" applyAlignment="1" applyProtection="1">
      <alignment horizontal="right"/>
      <protection locked="0"/>
    </xf>
    <xf numFmtId="9" fontId="9" fillId="0" borderId="2" xfId="0" applyNumberFormat="1" applyFont="1" applyBorder="1" applyAlignment="1">
      <alignment wrapText="1"/>
    </xf>
    <xf numFmtId="3" fontId="6" fillId="6" borderId="2" xfId="0" applyNumberFormat="1" applyFont="1" applyFill="1" applyBorder="1" applyAlignment="1">
      <alignment horizontal="right"/>
    </xf>
    <xf numFmtId="3" fontId="5" fillId="6" borderId="2" xfId="0" applyNumberFormat="1" applyFont="1" applyFill="1" applyBorder="1" applyAlignment="1">
      <alignment horizontal="right"/>
    </xf>
    <xf numFmtId="3" fontId="12" fillId="6" borderId="2" xfId="0" applyNumberFormat="1" applyFont="1" applyFill="1" applyBorder="1" applyAlignment="1" applyProtection="1">
      <alignment horizontal="right"/>
      <protection locked="0"/>
    </xf>
    <xf numFmtId="3" fontId="7" fillId="2" borderId="0" xfId="0" applyNumberFormat="1" applyFont="1" applyFill="1"/>
    <xf numFmtId="3" fontId="6" fillId="6" borderId="2" xfId="0" applyNumberFormat="1" applyFont="1" applyFill="1" applyBorder="1" applyAlignment="1" applyProtection="1">
      <alignment horizontal="right"/>
      <protection locked="0"/>
    </xf>
    <xf numFmtId="3" fontId="7" fillId="6" borderId="0" xfId="0" applyNumberFormat="1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3">
    <cellStyle name="Normal_Sheet1" xfId="1" xr:uid="{00000000-0005-0000-0000-000001000000}"/>
    <cellStyle name="Normalno" xfId="0" builtinId="0"/>
    <cellStyle name="Obično_Knjiga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1"/>
  <sheetViews>
    <sheetView topLeftCell="A115" workbookViewId="0">
      <selection activeCell="A19" sqref="A19"/>
    </sheetView>
  </sheetViews>
  <sheetFormatPr defaultColWidth="20.28515625" defaultRowHeight="15" x14ac:dyDescent="0.2"/>
  <cols>
    <col min="1" max="1" width="64.140625" style="16" customWidth="1"/>
    <col min="2" max="2" width="17" style="16" customWidth="1"/>
    <col min="3" max="3" width="14.5703125" style="19" bestFit="1" customWidth="1"/>
    <col min="4" max="4" width="12.42578125" style="19" customWidth="1"/>
    <col min="5" max="5" width="14.5703125" style="19" bestFit="1" customWidth="1"/>
    <col min="6" max="8" width="0" style="11" hidden="1" customWidth="1"/>
    <col min="9" max="16384" width="20.28515625" style="11"/>
  </cols>
  <sheetData>
    <row r="1" spans="1:7" s="8" customFormat="1" ht="15.75" customHeight="1" x14ac:dyDescent="0.25">
      <c r="A1" s="29"/>
      <c r="B1" s="29"/>
      <c r="C1" s="29"/>
      <c r="D1" s="29"/>
      <c r="E1" s="29"/>
    </row>
    <row r="2" spans="1:7" s="8" customFormat="1" ht="15.75" x14ac:dyDescent="0.25">
      <c r="A2" s="86" t="s">
        <v>215</v>
      </c>
      <c r="B2" s="86"/>
      <c r="C2" s="86"/>
      <c r="D2" s="86"/>
      <c r="E2" s="86"/>
    </row>
    <row r="3" spans="1:7" s="9" customFormat="1" ht="42" customHeight="1" x14ac:dyDescent="0.2">
      <c r="A3" s="30" t="s">
        <v>48</v>
      </c>
      <c r="B3" s="33" t="s">
        <v>216</v>
      </c>
      <c r="C3" s="33" t="s">
        <v>207</v>
      </c>
      <c r="D3" s="33" t="s">
        <v>206</v>
      </c>
      <c r="E3" s="33" t="s">
        <v>214</v>
      </c>
      <c r="G3" s="57" t="s">
        <v>209</v>
      </c>
    </row>
    <row r="4" spans="1:7" s="9" customFormat="1" ht="12.75" x14ac:dyDescent="0.2">
      <c r="A4" s="30"/>
      <c r="B4" s="34"/>
      <c r="C4" s="34"/>
      <c r="D4" s="34"/>
      <c r="E4" s="34" t="s">
        <v>208</v>
      </c>
      <c r="G4" s="58"/>
    </row>
    <row r="5" spans="1:7" x14ac:dyDescent="0.2">
      <c r="A5" s="24" t="s">
        <v>49</v>
      </c>
      <c r="B5" s="18">
        <v>55000</v>
      </c>
      <c r="C5" s="18">
        <v>55000</v>
      </c>
      <c r="D5" s="18"/>
      <c r="E5" s="18">
        <f>SUM(C5:D5)</f>
        <v>55000</v>
      </c>
      <c r="G5" s="59">
        <v>50243.37</v>
      </c>
    </row>
    <row r="6" spans="1:7" x14ac:dyDescent="0.2">
      <c r="A6" s="10" t="s">
        <v>172</v>
      </c>
      <c r="B6" s="18">
        <v>8000</v>
      </c>
      <c r="C6" s="18">
        <v>8000</v>
      </c>
      <c r="D6" s="18"/>
      <c r="E6" s="18">
        <f t="shared" ref="E6:E32" si="0">SUM(C6:D6)</f>
        <v>8000</v>
      </c>
      <c r="G6" s="59">
        <v>19196.240000000002</v>
      </c>
    </row>
    <row r="7" spans="1:7" ht="26.45" customHeight="1" x14ac:dyDescent="0.2">
      <c r="A7" s="24" t="s">
        <v>191</v>
      </c>
      <c r="B7" s="18">
        <v>35000</v>
      </c>
      <c r="C7" s="18">
        <v>35000</v>
      </c>
      <c r="D7" s="18"/>
      <c r="E7" s="18">
        <f t="shared" si="0"/>
        <v>35000</v>
      </c>
      <c r="G7" s="59">
        <v>30931.27</v>
      </c>
    </row>
    <row r="8" spans="1:7" x14ac:dyDescent="0.2">
      <c r="A8" s="10" t="s">
        <v>50</v>
      </c>
      <c r="B8" s="18">
        <v>500000</v>
      </c>
      <c r="C8" s="18">
        <v>500000</v>
      </c>
      <c r="D8" s="18">
        <v>50000</v>
      </c>
      <c r="E8" s="18">
        <f t="shared" si="0"/>
        <v>550000</v>
      </c>
      <c r="G8" s="59">
        <v>501749.32</v>
      </c>
    </row>
    <row r="9" spans="1:7" hidden="1" x14ac:dyDescent="0.2">
      <c r="A9" s="24" t="s">
        <v>51</v>
      </c>
      <c r="B9" s="18">
        <v>0</v>
      </c>
      <c r="C9" s="18">
        <v>0</v>
      </c>
      <c r="D9" s="18"/>
      <c r="E9" s="18">
        <f t="shared" si="0"/>
        <v>0</v>
      </c>
      <c r="G9" s="59">
        <v>403.36</v>
      </c>
    </row>
    <row r="10" spans="1:7" x14ac:dyDescent="0.2">
      <c r="A10" s="24" t="s">
        <v>52</v>
      </c>
      <c r="B10" s="18">
        <v>150000</v>
      </c>
      <c r="C10" s="18">
        <v>150000</v>
      </c>
      <c r="D10" s="18"/>
      <c r="E10" s="18">
        <f t="shared" si="0"/>
        <v>150000</v>
      </c>
      <c r="G10" s="59">
        <v>127406.7</v>
      </c>
    </row>
    <row r="11" spans="1:7" x14ac:dyDescent="0.2">
      <c r="A11" s="10" t="s">
        <v>53</v>
      </c>
      <c r="B11" s="18">
        <v>27000</v>
      </c>
      <c r="C11" s="18">
        <v>27000</v>
      </c>
      <c r="D11" s="18"/>
      <c r="E11" s="18">
        <f t="shared" si="0"/>
        <v>27000</v>
      </c>
      <c r="G11" s="59">
        <v>13986</v>
      </c>
    </row>
    <row r="12" spans="1:7" x14ac:dyDescent="0.2">
      <c r="A12" s="24" t="s">
        <v>54</v>
      </c>
      <c r="B12" s="18">
        <v>6000</v>
      </c>
      <c r="C12" s="18">
        <v>6000</v>
      </c>
      <c r="D12" s="18"/>
      <c r="E12" s="18">
        <f t="shared" si="0"/>
        <v>6000</v>
      </c>
      <c r="G12" s="59"/>
    </row>
    <row r="13" spans="1:7" x14ac:dyDescent="0.2">
      <c r="A13" s="24" t="s">
        <v>55</v>
      </c>
      <c r="B13" s="18">
        <v>25000</v>
      </c>
      <c r="C13" s="18">
        <v>25000</v>
      </c>
      <c r="D13" s="18"/>
      <c r="E13" s="18">
        <f t="shared" si="0"/>
        <v>25000</v>
      </c>
      <c r="G13" s="59">
        <v>23036.62</v>
      </c>
    </row>
    <row r="14" spans="1:7" ht="25.5" x14ac:dyDescent="0.2">
      <c r="A14" s="24" t="s">
        <v>56</v>
      </c>
      <c r="B14" s="18">
        <v>10000</v>
      </c>
      <c r="C14" s="18">
        <v>10000</v>
      </c>
      <c r="D14" s="18"/>
      <c r="E14" s="18">
        <f t="shared" si="0"/>
        <v>10000</v>
      </c>
      <c r="G14" s="59"/>
    </row>
    <row r="15" spans="1:7" ht="25.5" x14ac:dyDescent="0.2">
      <c r="A15" s="24" t="s">
        <v>57</v>
      </c>
      <c r="B15" s="18">
        <v>10000</v>
      </c>
      <c r="C15" s="18">
        <v>10000</v>
      </c>
      <c r="D15" s="18"/>
      <c r="E15" s="18">
        <f t="shared" si="0"/>
        <v>10000</v>
      </c>
      <c r="G15" s="59"/>
    </row>
    <row r="16" spans="1:7" x14ac:dyDescent="0.2">
      <c r="A16" s="24" t="s">
        <v>58</v>
      </c>
      <c r="B16" s="18">
        <v>135000</v>
      </c>
      <c r="C16" s="18">
        <v>150000</v>
      </c>
      <c r="D16" s="18"/>
      <c r="E16" s="18">
        <f t="shared" si="0"/>
        <v>150000</v>
      </c>
      <c r="G16" s="59">
        <v>50396.44</v>
      </c>
    </row>
    <row r="17" spans="1:7" x14ac:dyDescent="0.2">
      <c r="A17" s="24" t="s">
        <v>59</v>
      </c>
      <c r="B17" s="18">
        <v>10000</v>
      </c>
      <c r="C17" s="18">
        <v>10000</v>
      </c>
      <c r="D17" s="18"/>
      <c r="E17" s="18">
        <f t="shared" si="0"/>
        <v>10000</v>
      </c>
      <c r="G17" s="59"/>
    </row>
    <row r="18" spans="1:7" x14ac:dyDescent="0.2">
      <c r="A18" s="10" t="s">
        <v>60</v>
      </c>
      <c r="B18" s="18">
        <v>34000</v>
      </c>
      <c r="C18" s="18">
        <v>34000</v>
      </c>
      <c r="D18" s="18"/>
      <c r="E18" s="18">
        <f t="shared" si="0"/>
        <v>34000</v>
      </c>
      <c r="G18" s="59">
        <v>30173.14</v>
      </c>
    </row>
    <row r="19" spans="1:7" x14ac:dyDescent="0.2">
      <c r="A19" s="24" t="s">
        <v>61</v>
      </c>
      <c r="B19" s="18">
        <v>18000</v>
      </c>
      <c r="C19" s="18">
        <v>18000</v>
      </c>
      <c r="D19" s="18"/>
      <c r="E19" s="18">
        <f t="shared" si="0"/>
        <v>18000</v>
      </c>
      <c r="G19" s="59">
        <v>8150.25</v>
      </c>
    </row>
    <row r="20" spans="1:7" hidden="1" x14ac:dyDescent="0.2">
      <c r="A20" s="10" t="s">
        <v>62</v>
      </c>
      <c r="B20" s="18"/>
      <c r="C20" s="18"/>
      <c r="D20" s="18"/>
      <c r="E20" s="18">
        <f t="shared" si="0"/>
        <v>0</v>
      </c>
      <c r="G20" s="59"/>
    </row>
    <row r="21" spans="1:7" x14ac:dyDescent="0.2">
      <c r="A21" s="12" t="s">
        <v>173</v>
      </c>
      <c r="B21" s="18">
        <v>10000</v>
      </c>
      <c r="C21" s="18">
        <v>10000</v>
      </c>
      <c r="D21" s="18"/>
      <c r="E21" s="18">
        <f t="shared" si="0"/>
        <v>10000</v>
      </c>
      <c r="G21" s="59">
        <v>5780</v>
      </c>
    </row>
    <row r="22" spans="1:7" x14ac:dyDescent="0.2">
      <c r="A22" s="10" t="s">
        <v>192</v>
      </c>
      <c r="B22" s="18">
        <v>78000</v>
      </c>
      <c r="C22" s="18">
        <v>78000</v>
      </c>
      <c r="D22" s="18"/>
      <c r="E22" s="18">
        <f t="shared" si="0"/>
        <v>78000</v>
      </c>
      <c r="G22" s="59">
        <v>50377.23</v>
      </c>
    </row>
    <row r="23" spans="1:7" x14ac:dyDescent="0.2">
      <c r="A23" s="10" t="s">
        <v>63</v>
      </c>
      <c r="B23" s="18">
        <v>90000</v>
      </c>
      <c r="C23" s="18">
        <v>90000</v>
      </c>
      <c r="D23" s="18"/>
      <c r="E23" s="18">
        <f t="shared" si="0"/>
        <v>90000</v>
      </c>
      <c r="G23" s="59">
        <v>89678.41</v>
      </c>
    </row>
    <row r="24" spans="1:7" hidden="1" x14ac:dyDescent="0.2">
      <c r="A24" s="24" t="s">
        <v>64</v>
      </c>
      <c r="B24" s="18">
        <v>0</v>
      </c>
      <c r="C24" s="18">
        <v>0</v>
      </c>
      <c r="D24" s="18"/>
      <c r="E24" s="18">
        <f t="shared" si="0"/>
        <v>0</v>
      </c>
      <c r="G24" s="59"/>
    </row>
    <row r="25" spans="1:7" x14ac:dyDescent="0.2">
      <c r="A25" s="10" t="s">
        <v>65</v>
      </c>
      <c r="B25" s="18">
        <v>40000</v>
      </c>
      <c r="C25" s="18">
        <v>40000</v>
      </c>
      <c r="D25" s="18"/>
      <c r="E25" s="18">
        <f t="shared" si="0"/>
        <v>40000</v>
      </c>
      <c r="G25" s="59">
        <v>37555.620000000003</v>
      </c>
    </row>
    <row r="26" spans="1:7" x14ac:dyDescent="0.2">
      <c r="A26" s="10" t="s">
        <v>66</v>
      </c>
      <c r="B26" s="18">
        <v>2000</v>
      </c>
      <c r="C26" s="18">
        <v>2000</v>
      </c>
      <c r="D26" s="18"/>
      <c r="E26" s="18">
        <f t="shared" si="0"/>
        <v>2000</v>
      </c>
      <c r="G26" s="59">
        <v>1425.63</v>
      </c>
    </row>
    <row r="27" spans="1:7" x14ac:dyDescent="0.2">
      <c r="A27" s="10" t="s">
        <v>67</v>
      </c>
      <c r="B27" s="18">
        <v>28000</v>
      </c>
      <c r="C27" s="18">
        <v>28000</v>
      </c>
      <c r="D27" s="18"/>
      <c r="E27" s="18">
        <f t="shared" si="0"/>
        <v>28000</v>
      </c>
      <c r="G27" s="59">
        <v>22985.95</v>
      </c>
    </row>
    <row r="28" spans="1:7" x14ac:dyDescent="0.2">
      <c r="A28" s="10" t="s">
        <v>68</v>
      </c>
      <c r="B28" s="18">
        <v>32000</v>
      </c>
      <c r="C28" s="18">
        <v>32000</v>
      </c>
      <c r="D28" s="18"/>
      <c r="E28" s="18">
        <f t="shared" si="0"/>
        <v>32000</v>
      </c>
      <c r="G28" s="59">
        <v>28811.48</v>
      </c>
    </row>
    <row r="29" spans="1:7" x14ac:dyDescent="0.2">
      <c r="A29" s="10" t="s">
        <v>69</v>
      </c>
      <c r="B29" s="18">
        <v>105000</v>
      </c>
      <c r="C29" s="18">
        <v>105000</v>
      </c>
      <c r="D29" s="18">
        <v>7000</v>
      </c>
      <c r="E29" s="18">
        <f t="shared" si="0"/>
        <v>112000</v>
      </c>
      <c r="G29" s="59">
        <f>SUM(100784.75+11983.44)</f>
        <v>112768.19</v>
      </c>
    </row>
    <row r="30" spans="1:7" x14ac:dyDescent="0.2">
      <c r="A30" s="10" t="s">
        <v>70</v>
      </c>
      <c r="B30" s="18">
        <v>50000</v>
      </c>
      <c r="C30" s="18">
        <v>50000</v>
      </c>
      <c r="D30" s="18"/>
      <c r="E30" s="18">
        <f t="shared" si="0"/>
        <v>50000</v>
      </c>
      <c r="G30" s="59">
        <v>44509.22</v>
      </c>
    </row>
    <row r="31" spans="1:7" hidden="1" x14ac:dyDescent="0.2">
      <c r="A31" s="10" t="s">
        <v>182</v>
      </c>
      <c r="B31" s="18">
        <v>0</v>
      </c>
      <c r="C31" s="18">
        <v>0</v>
      </c>
      <c r="D31" s="18"/>
      <c r="E31" s="18">
        <f t="shared" si="0"/>
        <v>0</v>
      </c>
      <c r="G31" s="59">
        <f>SUM(14644+1416+5762.38+1061.76)</f>
        <v>22884.14</v>
      </c>
    </row>
    <row r="32" spans="1:7" x14ac:dyDescent="0.2">
      <c r="A32" s="10" t="s">
        <v>180</v>
      </c>
      <c r="B32" s="18">
        <v>61000</v>
      </c>
      <c r="C32" s="18">
        <v>67000</v>
      </c>
      <c r="D32" s="18">
        <v>-20000</v>
      </c>
      <c r="E32" s="18">
        <f t="shared" si="0"/>
        <v>47000</v>
      </c>
      <c r="G32" s="59"/>
    </row>
    <row r="33" spans="1:7" s="8" customFormat="1" ht="15.75" x14ac:dyDescent="0.25">
      <c r="A33" s="31" t="s">
        <v>71</v>
      </c>
      <c r="B33" s="32">
        <f>SUM(B5:B32)</f>
        <v>1519000</v>
      </c>
      <c r="C33" s="32">
        <f>SUM(C5:C32)</f>
        <v>1540000</v>
      </c>
      <c r="D33" s="32">
        <f t="shared" ref="D33:E33" si="1">SUM(D5:D32)</f>
        <v>37000</v>
      </c>
      <c r="E33" s="32">
        <f t="shared" si="1"/>
        <v>1577000</v>
      </c>
      <c r="G33" s="60">
        <f>SUM(G5:G32)</f>
        <v>1272448.5799999996</v>
      </c>
    </row>
    <row r="34" spans="1:7" x14ac:dyDescent="0.2">
      <c r="A34" s="10" t="s">
        <v>174</v>
      </c>
      <c r="B34" s="18">
        <v>1000</v>
      </c>
      <c r="C34" s="18">
        <v>1000</v>
      </c>
      <c r="D34" s="18"/>
      <c r="E34" s="18">
        <f>SUM(C34:D34)</f>
        <v>1000</v>
      </c>
      <c r="G34" s="59">
        <v>1118.79</v>
      </c>
    </row>
    <row r="35" spans="1:7" x14ac:dyDescent="0.2">
      <c r="A35" s="10" t="s">
        <v>183</v>
      </c>
      <c r="B35" s="18">
        <v>1000</v>
      </c>
      <c r="C35" s="18">
        <v>1000</v>
      </c>
      <c r="D35" s="18"/>
      <c r="E35" s="18">
        <f t="shared" ref="E35:E39" si="2">SUM(C35:D35)</f>
        <v>1000</v>
      </c>
      <c r="G35" s="59"/>
    </row>
    <row r="36" spans="1:7" x14ac:dyDescent="0.2">
      <c r="A36" s="10" t="s">
        <v>72</v>
      </c>
      <c r="B36" s="18">
        <v>10000.1</v>
      </c>
      <c r="C36" s="18">
        <v>10000.1</v>
      </c>
      <c r="D36" s="18"/>
      <c r="E36" s="18">
        <f t="shared" si="2"/>
        <v>10000.1</v>
      </c>
      <c r="G36" s="59">
        <v>19100.919999999998</v>
      </c>
    </row>
    <row r="37" spans="1:7" x14ac:dyDescent="0.2">
      <c r="A37" s="10" t="s">
        <v>73</v>
      </c>
      <c r="B37" s="18">
        <v>1000</v>
      </c>
      <c r="C37" s="18">
        <v>1000</v>
      </c>
      <c r="D37" s="18"/>
      <c r="E37" s="18">
        <f t="shared" si="2"/>
        <v>1000</v>
      </c>
      <c r="G37" s="59">
        <f>SUM(6231.02)</f>
        <v>6231.02</v>
      </c>
    </row>
    <row r="38" spans="1:7" x14ac:dyDescent="0.2">
      <c r="A38" s="10" t="s">
        <v>177</v>
      </c>
      <c r="B38" s="18">
        <v>1000</v>
      </c>
      <c r="C38" s="18">
        <v>1000</v>
      </c>
      <c r="D38" s="18"/>
      <c r="E38" s="18">
        <f t="shared" si="2"/>
        <v>1000</v>
      </c>
      <c r="G38" s="59">
        <f>SUM(665.4+27+49.97)</f>
        <v>742.37</v>
      </c>
    </row>
    <row r="39" spans="1:7" x14ac:dyDescent="0.2">
      <c r="A39" s="10" t="s">
        <v>74</v>
      </c>
      <c r="B39" s="18">
        <v>2000</v>
      </c>
      <c r="C39" s="18">
        <v>2000</v>
      </c>
      <c r="D39" s="18"/>
      <c r="E39" s="18">
        <f t="shared" si="2"/>
        <v>2000</v>
      </c>
      <c r="G39" s="59">
        <v>7107.58</v>
      </c>
    </row>
    <row r="40" spans="1:7" s="8" customFormat="1" ht="15.75" x14ac:dyDescent="0.25">
      <c r="A40" s="31" t="s">
        <v>75</v>
      </c>
      <c r="B40" s="32">
        <f>SUM(B33:B39)</f>
        <v>1535000.1</v>
      </c>
      <c r="C40" s="32">
        <f>SUM(C33:C39)</f>
        <v>1556000.1</v>
      </c>
      <c r="D40" s="32">
        <f t="shared" ref="D40:E40" si="3">SUM(D33:D39)</f>
        <v>37000</v>
      </c>
      <c r="E40" s="32">
        <f t="shared" si="3"/>
        <v>1593000.1</v>
      </c>
      <c r="G40" s="60">
        <f>SUM(G33:G39)</f>
        <v>1306749.2599999998</v>
      </c>
    </row>
    <row r="41" spans="1:7" s="8" customFormat="1" ht="15.75" x14ac:dyDescent="0.25">
      <c r="A41" s="26"/>
      <c r="B41" s="27"/>
      <c r="C41" s="27"/>
      <c r="D41" s="27"/>
      <c r="E41" s="27"/>
      <c r="G41" s="27"/>
    </row>
    <row r="42" spans="1:7" s="9" customFormat="1" ht="51" x14ac:dyDescent="0.2">
      <c r="A42" s="30" t="s">
        <v>76</v>
      </c>
      <c r="B42" s="33" t="s">
        <v>216</v>
      </c>
      <c r="C42" s="33" t="s">
        <v>207</v>
      </c>
      <c r="D42" s="33" t="s">
        <v>206</v>
      </c>
      <c r="E42" s="33" t="s">
        <v>214</v>
      </c>
      <c r="G42" s="57" t="s">
        <v>209</v>
      </c>
    </row>
    <row r="43" spans="1:7" s="8" customFormat="1" ht="12.75" x14ac:dyDescent="0.2">
      <c r="A43" s="31"/>
      <c r="B43" s="34"/>
      <c r="C43" s="34"/>
      <c r="D43" s="34"/>
      <c r="E43" s="34"/>
      <c r="G43" s="58"/>
    </row>
    <row r="44" spans="1:7" s="8" customFormat="1" ht="15.75" x14ac:dyDescent="0.25">
      <c r="A44" s="13" t="s">
        <v>77</v>
      </c>
      <c r="B44" s="20">
        <f>SUM(B45+B62+B67+B68+B74)</f>
        <v>164900</v>
      </c>
      <c r="C44" s="20">
        <f>SUM(C45+C62+C67+C68+C74)</f>
        <v>170900</v>
      </c>
      <c r="D44" s="20">
        <f t="shared" ref="D44:E44" si="4">SUM(D45+D62+D67+D68+D74)</f>
        <v>0</v>
      </c>
      <c r="E44" s="20">
        <f t="shared" si="4"/>
        <v>170900</v>
      </c>
      <c r="G44" s="61">
        <f>SUM(G45+G62+G67+G68+G74)</f>
        <v>173496.31</v>
      </c>
    </row>
    <row r="45" spans="1:7" x14ac:dyDescent="0.2">
      <c r="A45" s="14" t="s">
        <v>78</v>
      </c>
      <c r="B45" s="21">
        <f>SUM(B46:B61)</f>
        <v>104500</v>
      </c>
      <c r="C45" s="21">
        <f>SUM(C46:C61)</f>
        <v>104500</v>
      </c>
      <c r="D45" s="21">
        <f t="shared" ref="D45:E45" si="5">SUM(D46:D61)</f>
        <v>0</v>
      </c>
      <c r="E45" s="21">
        <f t="shared" si="5"/>
        <v>104500</v>
      </c>
      <c r="G45" s="62">
        <f>SUM(G46:G61)</f>
        <v>111125.43999999999</v>
      </c>
    </row>
    <row r="46" spans="1:7" x14ac:dyDescent="0.2">
      <c r="A46" s="15" t="s">
        <v>79</v>
      </c>
      <c r="B46" s="23">
        <v>12000</v>
      </c>
      <c r="C46" s="23">
        <v>12000</v>
      </c>
      <c r="D46" s="23"/>
      <c r="E46" s="23">
        <f>SUM(C46:D46)</f>
        <v>12000</v>
      </c>
      <c r="G46" s="63">
        <v>16343.5</v>
      </c>
    </row>
    <row r="47" spans="1:7" x14ac:dyDescent="0.2">
      <c r="A47" s="15" t="s">
        <v>80</v>
      </c>
      <c r="B47" s="22">
        <v>1000</v>
      </c>
      <c r="C47" s="22">
        <v>1000</v>
      </c>
      <c r="D47" s="22"/>
      <c r="E47" s="23">
        <f t="shared" ref="E47:E61" si="6">SUM(C47:D47)</f>
        <v>1000</v>
      </c>
      <c r="G47" s="64">
        <v>852.1</v>
      </c>
    </row>
    <row r="48" spans="1:7" x14ac:dyDescent="0.2">
      <c r="A48" s="15" t="s">
        <v>81</v>
      </c>
      <c r="B48" s="22">
        <v>12000</v>
      </c>
      <c r="C48" s="22">
        <v>6000</v>
      </c>
      <c r="D48" s="22"/>
      <c r="E48" s="23">
        <f t="shared" si="6"/>
        <v>6000</v>
      </c>
      <c r="G48" s="63">
        <f>SUM(11644.63+956.14)</f>
        <v>12600.769999999999</v>
      </c>
    </row>
    <row r="49" spans="1:7" x14ac:dyDescent="0.2">
      <c r="A49" s="15" t="s">
        <v>82</v>
      </c>
      <c r="B49" s="22">
        <v>18000</v>
      </c>
      <c r="C49" s="22">
        <v>24000</v>
      </c>
      <c r="D49" s="22"/>
      <c r="E49" s="23">
        <f t="shared" si="6"/>
        <v>24000</v>
      </c>
      <c r="G49" s="64">
        <v>15446.49</v>
      </c>
    </row>
    <row r="50" spans="1:7" x14ac:dyDescent="0.2">
      <c r="A50" s="15" t="s">
        <v>83</v>
      </c>
      <c r="B50" s="23">
        <v>20000</v>
      </c>
      <c r="C50" s="23">
        <v>20000</v>
      </c>
      <c r="D50" s="23"/>
      <c r="E50" s="23">
        <f t="shared" si="6"/>
        <v>20000</v>
      </c>
      <c r="G50" s="63">
        <v>20480.68</v>
      </c>
    </row>
    <row r="51" spans="1:7" x14ac:dyDescent="0.2">
      <c r="A51" s="15" t="s">
        <v>84</v>
      </c>
      <c r="B51" s="22">
        <v>500</v>
      </c>
      <c r="C51" s="22">
        <v>500</v>
      </c>
      <c r="D51" s="22"/>
      <c r="E51" s="23">
        <f t="shared" si="6"/>
        <v>500</v>
      </c>
      <c r="G51" s="64"/>
    </row>
    <row r="52" spans="1:7" x14ac:dyDescent="0.2">
      <c r="A52" s="15" t="s">
        <v>194</v>
      </c>
      <c r="B52" s="22">
        <v>3000</v>
      </c>
      <c r="C52" s="22">
        <v>3000</v>
      </c>
      <c r="D52" s="22"/>
      <c r="E52" s="23">
        <f t="shared" si="6"/>
        <v>3000</v>
      </c>
      <c r="G52" s="64">
        <v>5594.23</v>
      </c>
    </row>
    <row r="53" spans="1:7" x14ac:dyDescent="0.2">
      <c r="A53" s="15" t="s">
        <v>85</v>
      </c>
      <c r="B53" s="22">
        <v>2000</v>
      </c>
      <c r="C53" s="22">
        <v>2000</v>
      </c>
      <c r="D53" s="22"/>
      <c r="E53" s="23">
        <f t="shared" si="6"/>
        <v>2000</v>
      </c>
      <c r="G53" s="64">
        <v>1894.2</v>
      </c>
    </row>
    <row r="54" spans="1:7" x14ac:dyDescent="0.2">
      <c r="A54" s="15" t="s">
        <v>86</v>
      </c>
      <c r="B54" s="22">
        <v>2000</v>
      </c>
      <c r="C54" s="22">
        <v>2000</v>
      </c>
      <c r="D54" s="22"/>
      <c r="E54" s="23">
        <f t="shared" si="6"/>
        <v>2000</v>
      </c>
      <c r="G54" s="64">
        <v>1702.3</v>
      </c>
    </row>
    <row r="55" spans="1:7" x14ac:dyDescent="0.2">
      <c r="A55" s="15" t="s">
        <v>87</v>
      </c>
      <c r="B55" s="22">
        <v>1000</v>
      </c>
      <c r="C55" s="22">
        <v>1000</v>
      </c>
      <c r="D55" s="22"/>
      <c r="E55" s="23">
        <f t="shared" si="6"/>
        <v>1000</v>
      </c>
      <c r="G55" s="64">
        <v>593.97</v>
      </c>
    </row>
    <row r="56" spans="1:7" x14ac:dyDescent="0.2">
      <c r="A56" s="15" t="s">
        <v>178</v>
      </c>
      <c r="B56" s="22">
        <v>2000</v>
      </c>
      <c r="C56" s="22">
        <v>2000</v>
      </c>
      <c r="D56" s="22"/>
      <c r="E56" s="23">
        <f t="shared" si="6"/>
        <v>2000</v>
      </c>
      <c r="G56" s="64">
        <v>2106.1</v>
      </c>
    </row>
    <row r="57" spans="1:7" x14ac:dyDescent="0.2">
      <c r="A57" s="15" t="s">
        <v>179</v>
      </c>
      <c r="B57" s="22">
        <v>1000</v>
      </c>
      <c r="C57" s="22">
        <v>1000</v>
      </c>
      <c r="D57" s="22"/>
      <c r="E57" s="23">
        <f t="shared" si="6"/>
        <v>1000</v>
      </c>
      <c r="G57" s="64">
        <v>4002.67</v>
      </c>
    </row>
    <row r="58" spans="1:7" x14ac:dyDescent="0.2">
      <c r="A58" s="15" t="s">
        <v>184</v>
      </c>
      <c r="B58" s="22">
        <v>1000</v>
      </c>
      <c r="C58" s="22">
        <v>1000</v>
      </c>
      <c r="D58" s="22"/>
      <c r="E58" s="23">
        <f t="shared" si="6"/>
        <v>1000</v>
      </c>
      <c r="G58" s="64">
        <v>656.59</v>
      </c>
    </row>
    <row r="59" spans="1:7" x14ac:dyDescent="0.2">
      <c r="A59" s="15" t="s">
        <v>88</v>
      </c>
      <c r="B59" s="22">
        <v>20000</v>
      </c>
      <c r="C59" s="22">
        <v>20000</v>
      </c>
      <c r="D59" s="22"/>
      <c r="E59" s="23">
        <f t="shared" si="6"/>
        <v>20000</v>
      </c>
      <c r="G59" s="64">
        <v>21204.43</v>
      </c>
    </row>
    <row r="60" spans="1:7" x14ac:dyDescent="0.2">
      <c r="A60" s="15" t="s">
        <v>181</v>
      </c>
      <c r="B60" s="22">
        <v>5000</v>
      </c>
      <c r="C60" s="22">
        <v>5000</v>
      </c>
      <c r="D60" s="22"/>
      <c r="E60" s="23">
        <f t="shared" si="6"/>
        <v>5000</v>
      </c>
      <c r="G60" s="63">
        <v>4112.01</v>
      </c>
    </row>
    <row r="61" spans="1:7" x14ac:dyDescent="0.2">
      <c r="A61" s="15" t="s">
        <v>89</v>
      </c>
      <c r="B61" s="22">
        <v>4000</v>
      </c>
      <c r="C61" s="22">
        <v>4000</v>
      </c>
      <c r="D61" s="22"/>
      <c r="E61" s="23">
        <f t="shared" si="6"/>
        <v>4000</v>
      </c>
      <c r="G61" s="63">
        <v>3535.4</v>
      </c>
    </row>
    <row r="62" spans="1:7" x14ac:dyDescent="0.2">
      <c r="A62" s="14" t="s">
        <v>90</v>
      </c>
      <c r="B62" s="21">
        <f>SUM(B63:B66)</f>
        <v>41000</v>
      </c>
      <c r="C62" s="21">
        <f>SUM(C63:C66)</f>
        <v>47000</v>
      </c>
      <c r="D62" s="21">
        <f t="shared" ref="D62:E62" si="7">SUM(D63:D66)</f>
        <v>0</v>
      </c>
      <c r="E62" s="21">
        <f t="shared" si="7"/>
        <v>47000</v>
      </c>
      <c r="G62" s="62">
        <f>SUM(G63:G66)</f>
        <v>36389.94</v>
      </c>
    </row>
    <row r="63" spans="1:7" x14ac:dyDescent="0.2">
      <c r="A63" s="15" t="s">
        <v>91</v>
      </c>
      <c r="B63" s="22">
        <v>8000</v>
      </c>
      <c r="C63" s="22">
        <v>10000</v>
      </c>
      <c r="D63" s="22"/>
      <c r="E63" s="22">
        <f>SUM(C63:D63)</f>
        <v>10000</v>
      </c>
      <c r="G63" s="64">
        <v>7839.96</v>
      </c>
    </row>
    <row r="64" spans="1:7" x14ac:dyDescent="0.2">
      <c r="A64" s="15" t="s">
        <v>92</v>
      </c>
      <c r="B64" s="22">
        <v>1000</v>
      </c>
      <c r="C64" s="22">
        <v>1000</v>
      </c>
      <c r="D64" s="22"/>
      <c r="E64" s="22">
        <f t="shared" ref="E64:E66" si="8">SUM(C64:D64)</f>
        <v>1000</v>
      </c>
      <c r="G64" s="64">
        <v>417.28</v>
      </c>
    </row>
    <row r="65" spans="1:7" x14ac:dyDescent="0.2">
      <c r="A65" s="15" t="s">
        <v>93</v>
      </c>
      <c r="B65" s="23">
        <v>28000</v>
      </c>
      <c r="C65" s="23">
        <v>30000</v>
      </c>
      <c r="D65" s="23"/>
      <c r="E65" s="22">
        <f t="shared" si="8"/>
        <v>30000</v>
      </c>
      <c r="G65" s="63">
        <v>24371.9</v>
      </c>
    </row>
    <row r="66" spans="1:7" x14ac:dyDescent="0.2">
      <c r="A66" s="15" t="s">
        <v>94</v>
      </c>
      <c r="B66" s="23">
        <v>4000</v>
      </c>
      <c r="C66" s="23">
        <v>6000</v>
      </c>
      <c r="D66" s="23"/>
      <c r="E66" s="22">
        <f t="shared" si="8"/>
        <v>6000</v>
      </c>
      <c r="G66" s="63">
        <f>SUM(2125.12+1635.68)</f>
        <v>3760.8</v>
      </c>
    </row>
    <row r="67" spans="1:7" x14ac:dyDescent="0.2">
      <c r="A67" s="14" t="s">
        <v>95</v>
      </c>
      <c r="B67" s="21">
        <v>4000</v>
      </c>
      <c r="C67" s="21">
        <v>4000</v>
      </c>
      <c r="D67" s="21"/>
      <c r="E67" s="21">
        <f>SUM(C67:D67)</f>
        <v>4000</v>
      </c>
      <c r="G67" s="62">
        <v>4191.78</v>
      </c>
    </row>
    <row r="68" spans="1:7" x14ac:dyDescent="0.2">
      <c r="A68" s="14" t="s">
        <v>96</v>
      </c>
      <c r="B68" s="21">
        <f>SUM(B69:B72)</f>
        <v>15000</v>
      </c>
      <c r="C68" s="21">
        <f>SUM(C69:C73)</f>
        <v>15000</v>
      </c>
      <c r="D68" s="21">
        <f t="shared" ref="D68:E68" si="9">SUM(D69:D73)</f>
        <v>0</v>
      </c>
      <c r="E68" s="21">
        <f t="shared" si="9"/>
        <v>15000</v>
      </c>
      <c r="G68" s="62">
        <f>SUM(G69:G73)</f>
        <v>21537.15</v>
      </c>
    </row>
    <row r="69" spans="1:7" x14ac:dyDescent="0.2">
      <c r="A69" s="15" t="s">
        <v>97</v>
      </c>
      <c r="B69" s="22">
        <v>8000</v>
      </c>
      <c r="C69" s="22">
        <v>8000</v>
      </c>
      <c r="D69" s="22"/>
      <c r="E69" s="22">
        <f>SUM(C69:D69)</f>
        <v>8000</v>
      </c>
      <c r="G69" s="64">
        <f>SUM(642.18+12582.98)</f>
        <v>13225.16</v>
      </c>
    </row>
    <row r="70" spans="1:7" x14ac:dyDescent="0.2">
      <c r="A70" s="15" t="s">
        <v>176</v>
      </c>
      <c r="B70" s="22">
        <v>4000</v>
      </c>
      <c r="C70" s="22">
        <v>4000</v>
      </c>
      <c r="D70" s="22"/>
      <c r="E70" s="22">
        <f t="shared" ref="E70:E72" si="10">SUM(C70:D70)</f>
        <v>4000</v>
      </c>
      <c r="G70" s="64">
        <f>SUM(8016.41)</f>
        <v>8016.41</v>
      </c>
    </row>
    <row r="71" spans="1:7" x14ac:dyDescent="0.2">
      <c r="A71" s="15" t="s">
        <v>175</v>
      </c>
      <c r="B71" s="22">
        <v>2000</v>
      </c>
      <c r="C71" s="22">
        <v>2000</v>
      </c>
      <c r="D71" s="22"/>
      <c r="E71" s="22">
        <f t="shared" si="10"/>
        <v>2000</v>
      </c>
      <c r="G71" s="64">
        <v>295.58</v>
      </c>
    </row>
    <row r="72" spans="1:7" x14ac:dyDescent="0.2">
      <c r="A72" s="15" t="s">
        <v>198</v>
      </c>
      <c r="B72" s="22">
        <v>1000</v>
      </c>
      <c r="C72" s="22">
        <v>1000</v>
      </c>
      <c r="D72" s="22"/>
      <c r="E72" s="22">
        <f t="shared" si="10"/>
        <v>1000</v>
      </c>
      <c r="G72" s="64"/>
    </row>
    <row r="73" spans="1:7" hidden="1" x14ac:dyDescent="0.2">
      <c r="A73" s="15" t="s">
        <v>99</v>
      </c>
      <c r="B73" s="22">
        <v>0</v>
      </c>
      <c r="C73" s="22">
        <v>0</v>
      </c>
      <c r="D73" s="22"/>
      <c r="E73" s="22">
        <v>0</v>
      </c>
      <c r="G73" s="64"/>
    </row>
    <row r="74" spans="1:7" x14ac:dyDescent="0.2">
      <c r="A74" s="14" t="s">
        <v>100</v>
      </c>
      <c r="B74" s="21">
        <f>SUM(B75:B76)</f>
        <v>400</v>
      </c>
      <c r="C74" s="21">
        <f>SUM(C75:C76)</f>
        <v>400</v>
      </c>
      <c r="D74" s="21">
        <f t="shared" ref="D74:E74" si="11">SUM(D75:D76)</f>
        <v>0</v>
      </c>
      <c r="E74" s="21">
        <f t="shared" si="11"/>
        <v>400</v>
      </c>
      <c r="G74" s="62">
        <f>SUM(G75:G76)</f>
        <v>252</v>
      </c>
    </row>
    <row r="75" spans="1:7" x14ac:dyDescent="0.2">
      <c r="A75" s="15" t="s">
        <v>101</v>
      </c>
      <c r="B75" s="23">
        <v>200</v>
      </c>
      <c r="C75" s="23">
        <v>200</v>
      </c>
      <c r="D75" s="23"/>
      <c r="E75" s="23">
        <f>SUM(C75:D75)</f>
        <v>200</v>
      </c>
      <c r="G75" s="63">
        <v>252</v>
      </c>
    </row>
    <row r="76" spans="1:7" x14ac:dyDescent="0.2">
      <c r="A76" s="15" t="s">
        <v>103</v>
      </c>
      <c r="B76" s="23">
        <v>200</v>
      </c>
      <c r="C76" s="23">
        <v>200</v>
      </c>
      <c r="D76" s="23"/>
      <c r="E76" s="23">
        <f>SUM(C76:D76)</f>
        <v>200</v>
      </c>
      <c r="G76" s="63"/>
    </row>
    <row r="77" spans="1:7" s="8" customFormat="1" ht="15.75" x14ac:dyDescent="0.25">
      <c r="A77" s="13" t="s">
        <v>104</v>
      </c>
      <c r="B77" s="20">
        <f>SUM(B78+B82+B93+B98+B102)</f>
        <v>353500</v>
      </c>
      <c r="C77" s="20">
        <f>SUM(C78+C82+C93+C98+C102)</f>
        <v>369500</v>
      </c>
      <c r="D77" s="20">
        <f t="shared" ref="D77:E77" si="12">SUM(D78+D82+D93+D98+D102)</f>
        <v>0</v>
      </c>
      <c r="E77" s="20">
        <f t="shared" si="12"/>
        <v>369500</v>
      </c>
      <c r="G77" s="61">
        <f>SUM(G78+G82+G93+G98+G102)</f>
        <v>217143.88999999998</v>
      </c>
    </row>
    <row r="78" spans="1:7" x14ac:dyDescent="0.2">
      <c r="A78" s="14" t="s">
        <v>105</v>
      </c>
      <c r="B78" s="21">
        <f>SUM(B79:B81)</f>
        <v>12500</v>
      </c>
      <c r="C78" s="21">
        <f>SUM(C79:C81)</f>
        <v>12500</v>
      </c>
      <c r="D78" s="21">
        <f t="shared" ref="D78:E78" si="13">SUM(D79:D81)</f>
        <v>0</v>
      </c>
      <c r="E78" s="21">
        <f t="shared" si="13"/>
        <v>12500</v>
      </c>
      <c r="G78" s="62">
        <f>SUM(G79:G81)</f>
        <v>11358.720000000001</v>
      </c>
    </row>
    <row r="79" spans="1:7" x14ac:dyDescent="0.2">
      <c r="A79" s="15" t="s">
        <v>106</v>
      </c>
      <c r="B79" s="23">
        <v>1500</v>
      </c>
      <c r="C79" s="23">
        <v>1500</v>
      </c>
      <c r="D79" s="23"/>
      <c r="E79" s="23">
        <f>SUM(C79:D79)</f>
        <v>1500</v>
      </c>
      <c r="G79" s="63">
        <v>1388</v>
      </c>
    </row>
    <row r="80" spans="1:7" x14ac:dyDescent="0.2">
      <c r="A80" s="15" t="s">
        <v>107</v>
      </c>
      <c r="B80" s="23">
        <v>7000</v>
      </c>
      <c r="C80" s="23">
        <v>7000</v>
      </c>
      <c r="D80" s="23"/>
      <c r="E80" s="23">
        <f t="shared" ref="E80:E81" si="14">SUM(C80:D80)</f>
        <v>7000</v>
      </c>
      <c r="G80" s="63">
        <v>6741.47</v>
      </c>
    </row>
    <row r="81" spans="1:7" x14ac:dyDescent="0.2">
      <c r="A81" s="15" t="s">
        <v>108</v>
      </c>
      <c r="B81" s="23">
        <v>4000</v>
      </c>
      <c r="C81" s="23">
        <v>4000</v>
      </c>
      <c r="D81" s="23"/>
      <c r="E81" s="23">
        <f t="shared" si="14"/>
        <v>4000</v>
      </c>
      <c r="G81" s="63">
        <v>3229.25</v>
      </c>
    </row>
    <row r="82" spans="1:7" x14ac:dyDescent="0.2">
      <c r="A82" s="14" t="s">
        <v>109</v>
      </c>
      <c r="B82" s="21">
        <f>SUM(B84:B92)</f>
        <v>231000</v>
      </c>
      <c r="C82" s="21">
        <f>SUM(C83:C92)</f>
        <v>241000</v>
      </c>
      <c r="D82" s="21">
        <f t="shared" ref="D82:E82" si="15">SUM(D83:D92)</f>
        <v>0</v>
      </c>
      <c r="E82" s="21">
        <f t="shared" si="15"/>
        <v>241000</v>
      </c>
      <c r="G82" s="62">
        <f>SUM(G83:G92)</f>
        <v>102752.1</v>
      </c>
    </row>
    <row r="83" spans="1:7" hidden="1" x14ac:dyDescent="0.2">
      <c r="A83" s="15" t="s">
        <v>110</v>
      </c>
      <c r="B83" s="22">
        <v>0</v>
      </c>
      <c r="C83" s="22">
        <v>0</v>
      </c>
      <c r="D83" s="22"/>
      <c r="E83" s="22">
        <v>0</v>
      </c>
      <c r="G83" s="64"/>
    </row>
    <row r="84" spans="1:7" x14ac:dyDescent="0.2">
      <c r="A84" s="15" t="s">
        <v>111</v>
      </c>
      <c r="B84" s="22">
        <v>32000</v>
      </c>
      <c r="C84" s="22">
        <v>32000</v>
      </c>
      <c r="D84" s="22"/>
      <c r="E84" s="22">
        <f>SUM(C84:D84)</f>
        <v>32000</v>
      </c>
      <c r="G84" s="64">
        <v>30918.76</v>
      </c>
    </row>
    <row r="85" spans="1:7" ht="25.5" x14ac:dyDescent="0.2">
      <c r="A85" s="17" t="s">
        <v>112</v>
      </c>
      <c r="B85" s="22">
        <v>10000</v>
      </c>
      <c r="C85" s="22">
        <v>10000</v>
      </c>
      <c r="D85" s="22"/>
      <c r="E85" s="22">
        <f t="shared" ref="E85:E92" si="16">SUM(C85:D85)</f>
        <v>10000</v>
      </c>
      <c r="G85" s="64"/>
    </row>
    <row r="86" spans="1:7" ht="25.5" x14ac:dyDescent="0.2">
      <c r="A86" s="17" t="s">
        <v>113</v>
      </c>
      <c r="B86" s="22">
        <v>10000</v>
      </c>
      <c r="C86" s="22">
        <v>10000</v>
      </c>
      <c r="D86" s="22"/>
      <c r="E86" s="22">
        <f t="shared" si="16"/>
        <v>10000</v>
      </c>
      <c r="G86" s="64"/>
    </row>
    <row r="87" spans="1:7" x14ac:dyDescent="0.2">
      <c r="A87" s="24" t="s">
        <v>115</v>
      </c>
      <c r="B87" s="18">
        <v>130000</v>
      </c>
      <c r="C87" s="18">
        <v>140000</v>
      </c>
      <c r="D87" s="18"/>
      <c r="E87" s="22">
        <f t="shared" si="16"/>
        <v>140000</v>
      </c>
      <c r="G87" s="64">
        <v>32578.43</v>
      </c>
    </row>
    <row r="88" spans="1:7" x14ac:dyDescent="0.2">
      <c r="A88" s="15" t="s">
        <v>185</v>
      </c>
      <c r="B88" s="22">
        <v>2000</v>
      </c>
      <c r="C88" s="22">
        <v>2000</v>
      </c>
      <c r="D88" s="22"/>
      <c r="E88" s="22">
        <f t="shared" si="16"/>
        <v>2000</v>
      </c>
      <c r="G88" s="63">
        <f>SUM(1681.96+630)</f>
        <v>2311.96</v>
      </c>
    </row>
    <row r="89" spans="1:7" x14ac:dyDescent="0.2">
      <c r="A89" s="15" t="s">
        <v>116</v>
      </c>
      <c r="B89" s="22">
        <v>5000</v>
      </c>
      <c r="C89" s="22">
        <v>5000</v>
      </c>
      <c r="D89" s="22"/>
      <c r="E89" s="22">
        <f t="shared" si="16"/>
        <v>5000</v>
      </c>
      <c r="G89" s="64">
        <v>3009</v>
      </c>
    </row>
    <row r="90" spans="1:7" x14ac:dyDescent="0.2">
      <c r="A90" s="15" t="s">
        <v>117</v>
      </c>
      <c r="B90" s="22">
        <v>12000</v>
      </c>
      <c r="C90" s="22">
        <v>12000</v>
      </c>
      <c r="D90" s="22"/>
      <c r="E90" s="22">
        <f t="shared" si="16"/>
        <v>12000</v>
      </c>
      <c r="G90" s="64">
        <f>SUM(13534.01+645.18)</f>
        <v>14179.19</v>
      </c>
    </row>
    <row r="91" spans="1:7" x14ac:dyDescent="0.2">
      <c r="A91" s="15" t="s">
        <v>118</v>
      </c>
      <c r="B91" s="22">
        <v>2000</v>
      </c>
      <c r="C91" s="22">
        <v>2000</v>
      </c>
      <c r="D91" s="22"/>
      <c r="E91" s="22">
        <f t="shared" si="16"/>
        <v>2000</v>
      </c>
      <c r="G91" s="63">
        <f>SUM(5499.76+930)</f>
        <v>6429.76</v>
      </c>
    </row>
    <row r="92" spans="1:7" x14ac:dyDescent="0.2">
      <c r="A92" s="15" t="s">
        <v>119</v>
      </c>
      <c r="B92" s="22">
        <v>28000</v>
      </c>
      <c r="C92" s="22">
        <v>28000</v>
      </c>
      <c r="D92" s="22"/>
      <c r="E92" s="22">
        <f t="shared" si="16"/>
        <v>28000</v>
      </c>
      <c r="G92" s="64">
        <v>13325</v>
      </c>
    </row>
    <row r="93" spans="1:7" x14ac:dyDescent="0.2">
      <c r="A93" s="14" t="s">
        <v>120</v>
      </c>
      <c r="B93" s="21">
        <f>SUM(B94:B97)</f>
        <v>47000</v>
      </c>
      <c r="C93" s="21">
        <f>SUM(C94:C97)</f>
        <v>47000</v>
      </c>
      <c r="D93" s="21">
        <f t="shared" ref="D93:E93" si="17">SUM(D94:D97)</f>
        <v>0</v>
      </c>
      <c r="E93" s="21">
        <f t="shared" si="17"/>
        <v>47000</v>
      </c>
      <c r="G93" s="62">
        <f>SUM(G94:G97)</f>
        <v>48747.289999999994</v>
      </c>
    </row>
    <row r="94" spans="1:7" x14ac:dyDescent="0.2">
      <c r="A94" s="15" t="s">
        <v>121</v>
      </c>
      <c r="B94" s="22">
        <v>6000</v>
      </c>
      <c r="C94" s="22">
        <v>6000</v>
      </c>
      <c r="D94" s="22"/>
      <c r="E94" s="22">
        <f>SUM(C94:D94)</f>
        <v>6000</v>
      </c>
      <c r="G94" s="64">
        <v>5548.65</v>
      </c>
    </row>
    <row r="95" spans="1:7" x14ac:dyDescent="0.2">
      <c r="A95" s="15" t="s">
        <v>122</v>
      </c>
      <c r="B95" s="22">
        <v>3000</v>
      </c>
      <c r="C95" s="22">
        <v>3000</v>
      </c>
      <c r="D95" s="22"/>
      <c r="E95" s="22">
        <f t="shared" ref="E95:E97" si="18">SUM(C95:D95)</f>
        <v>3000</v>
      </c>
      <c r="G95" s="64">
        <f>SUM(1311.62+1080.47)</f>
        <v>2392.09</v>
      </c>
    </row>
    <row r="96" spans="1:7" x14ac:dyDescent="0.2">
      <c r="A96" s="15" t="s">
        <v>123</v>
      </c>
      <c r="B96" s="22">
        <v>16000</v>
      </c>
      <c r="C96" s="22">
        <v>16000</v>
      </c>
      <c r="D96" s="22"/>
      <c r="E96" s="22">
        <f t="shared" si="18"/>
        <v>16000</v>
      </c>
      <c r="G96" s="64">
        <v>16752.11</v>
      </c>
    </row>
    <row r="97" spans="1:7" x14ac:dyDescent="0.2">
      <c r="A97" s="15" t="s">
        <v>124</v>
      </c>
      <c r="B97" s="22">
        <v>22000</v>
      </c>
      <c r="C97" s="22">
        <v>22000</v>
      </c>
      <c r="D97" s="22"/>
      <c r="E97" s="22">
        <f t="shared" si="18"/>
        <v>22000</v>
      </c>
      <c r="G97" s="64">
        <v>24054.44</v>
      </c>
    </row>
    <row r="98" spans="1:7" x14ac:dyDescent="0.2">
      <c r="A98" s="14" t="s">
        <v>125</v>
      </c>
      <c r="B98" s="21">
        <f>SUM(B99:B101)</f>
        <v>16000</v>
      </c>
      <c r="C98" s="21">
        <f>SUM(C99:C101)</f>
        <v>16000</v>
      </c>
      <c r="D98" s="21">
        <f t="shared" ref="D98:E98" si="19">SUM(D99:D101)</f>
        <v>0</v>
      </c>
      <c r="E98" s="21">
        <f t="shared" si="19"/>
        <v>16000</v>
      </c>
      <c r="G98" s="62">
        <f>SUM(G99:G101)</f>
        <v>15355.84</v>
      </c>
    </row>
    <row r="99" spans="1:7" x14ac:dyDescent="0.2">
      <c r="A99" s="15" t="s">
        <v>126</v>
      </c>
      <c r="B99" s="22">
        <v>12000</v>
      </c>
      <c r="C99" s="22">
        <v>12000</v>
      </c>
      <c r="D99" s="22"/>
      <c r="E99" s="22">
        <f>SUM(C99:D99)</f>
        <v>12000</v>
      </c>
      <c r="G99" s="63">
        <v>12371.57</v>
      </c>
    </row>
    <row r="100" spans="1:7" x14ac:dyDescent="0.2">
      <c r="A100" s="15" t="s">
        <v>127</v>
      </c>
      <c r="B100" s="22">
        <v>3000</v>
      </c>
      <c r="C100" s="22">
        <v>3000</v>
      </c>
      <c r="D100" s="22"/>
      <c r="E100" s="22">
        <f t="shared" ref="E100:E101" si="20">SUM(C100:D100)</f>
        <v>3000</v>
      </c>
      <c r="G100" s="64">
        <f>SUM(1744.01+654.33)</f>
        <v>2398.34</v>
      </c>
    </row>
    <row r="101" spans="1:7" x14ac:dyDescent="0.2">
      <c r="A101" s="15" t="s">
        <v>128</v>
      </c>
      <c r="B101" s="22">
        <v>1000</v>
      </c>
      <c r="C101" s="22">
        <v>1000</v>
      </c>
      <c r="D101" s="22"/>
      <c r="E101" s="22">
        <f t="shared" si="20"/>
        <v>1000</v>
      </c>
      <c r="G101" s="64">
        <f>SUM(585.93)</f>
        <v>585.92999999999995</v>
      </c>
    </row>
    <row r="102" spans="1:7" x14ac:dyDescent="0.2">
      <c r="A102" s="14" t="s">
        <v>129</v>
      </c>
      <c r="B102" s="21">
        <f>SUM(B103:B114)</f>
        <v>47000</v>
      </c>
      <c r="C102" s="21">
        <f>SUM(C103:C114)</f>
        <v>53000</v>
      </c>
      <c r="D102" s="21">
        <f>SUM(D103:D114)</f>
        <v>0</v>
      </c>
      <c r="E102" s="21">
        <f>SUM(E103:E114)</f>
        <v>53000</v>
      </c>
      <c r="G102" s="62">
        <f>SUM(G103:G114)</f>
        <v>38929.94</v>
      </c>
    </row>
    <row r="103" spans="1:7" x14ac:dyDescent="0.2">
      <c r="A103" s="15" t="s">
        <v>134</v>
      </c>
      <c r="B103" s="23">
        <v>6000</v>
      </c>
      <c r="C103" s="23">
        <v>6000</v>
      </c>
      <c r="D103" s="23"/>
      <c r="E103" s="23">
        <f>SUM(C103:D103)</f>
        <v>6000</v>
      </c>
      <c r="G103" s="63">
        <v>4366.45</v>
      </c>
    </row>
    <row r="104" spans="1:7" x14ac:dyDescent="0.2">
      <c r="A104" s="15" t="s">
        <v>135</v>
      </c>
      <c r="B104" s="23">
        <v>3000</v>
      </c>
      <c r="C104" s="23">
        <v>3000</v>
      </c>
      <c r="D104" s="23"/>
      <c r="E104" s="23">
        <f t="shared" ref="E104:E114" si="21">SUM(C104:D104)</f>
        <v>3000</v>
      </c>
      <c r="G104" s="63">
        <v>2486.98</v>
      </c>
    </row>
    <row r="105" spans="1:7" x14ac:dyDescent="0.2">
      <c r="A105" s="15" t="s">
        <v>188</v>
      </c>
      <c r="B105" s="22">
        <v>9000</v>
      </c>
      <c r="C105" s="22">
        <v>9000</v>
      </c>
      <c r="D105" s="22"/>
      <c r="E105" s="23">
        <f t="shared" si="21"/>
        <v>9000</v>
      </c>
      <c r="G105" s="64">
        <f>SUM(137.93+7264.72)</f>
        <v>7402.6500000000005</v>
      </c>
    </row>
    <row r="106" spans="1:7" x14ac:dyDescent="0.2">
      <c r="A106" s="15" t="s">
        <v>212</v>
      </c>
      <c r="B106" s="22">
        <v>3000</v>
      </c>
      <c r="C106" s="22">
        <v>6000</v>
      </c>
      <c r="D106" s="22"/>
      <c r="E106" s="23">
        <f t="shared" si="21"/>
        <v>6000</v>
      </c>
      <c r="G106" s="64"/>
    </row>
    <row r="107" spans="1:7" x14ac:dyDescent="0.2">
      <c r="A107" s="17" t="s">
        <v>213</v>
      </c>
      <c r="B107" s="22">
        <v>12000</v>
      </c>
      <c r="C107" s="22">
        <v>11000</v>
      </c>
      <c r="D107" s="22"/>
      <c r="E107" s="23">
        <f t="shared" si="21"/>
        <v>11000</v>
      </c>
      <c r="G107" s="64">
        <f>SUM(12358.26)</f>
        <v>12358.26</v>
      </c>
    </row>
    <row r="108" spans="1:7" x14ac:dyDescent="0.2">
      <c r="A108" s="15" t="s">
        <v>171</v>
      </c>
      <c r="B108" s="22">
        <v>2000</v>
      </c>
      <c r="C108" s="22">
        <v>4000</v>
      </c>
      <c r="D108" s="22"/>
      <c r="E108" s="23">
        <f t="shared" si="21"/>
        <v>4000</v>
      </c>
      <c r="G108" s="64">
        <v>2765</v>
      </c>
    </row>
    <row r="109" spans="1:7" x14ac:dyDescent="0.2">
      <c r="A109" s="15" t="s">
        <v>170</v>
      </c>
      <c r="B109" s="22">
        <v>2000</v>
      </c>
      <c r="C109" s="22">
        <v>4000</v>
      </c>
      <c r="D109" s="22"/>
      <c r="E109" s="23">
        <f t="shared" si="21"/>
        <v>4000</v>
      </c>
      <c r="G109" s="64"/>
    </row>
    <row r="110" spans="1:7" x14ac:dyDescent="0.2">
      <c r="A110" s="15" t="s">
        <v>169</v>
      </c>
      <c r="B110" s="22">
        <v>2000</v>
      </c>
      <c r="C110" s="22">
        <v>2000</v>
      </c>
      <c r="D110" s="22"/>
      <c r="E110" s="23">
        <f t="shared" si="21"/>
        <v>2000</v>
      </c>
      <c r="G110" s="64">
        <v>2032</v>
      </c>
    </row>
    <row r="111" spans="1:7" ht="25.5" hidden="1" x14ac:dyDescent="0.2">
      <c r="A111" s="28" t="s">
        <v>186</v>
      </c>
      <c r="B111" s="22">
        <v>0</v>
      </c>
      <c r="C111" s="22">
        <v>0</v>
      </c>
      <c r="D111" s="22"/>
      <c r="E111" s="23">
        <f t="shared" si="21"/>
        <v>0</v>
      </c>
      <c r="G111" s="64"/>
    </row>
    <row r="112" spans="1:7" hidden="1" x14ac:dyDescent="0.2">
      <c r="A112" s="15" t="s">
        <v>136</v>
      </c>
      <c r="B112" s="23">
        <v>0</v>
      </c>
      <c r="C112" s="23">
        <v>0</v>
      </c>
      <c r="D112" s="23"/>
      <c r="E112" s="23">
        <f t="shared" si="21"/>
        <v>0</v>
      </c>
      <c r="G112" s="63"/>
    </row>
    <row r="113" spans="1:7" x14ac:dyDescent="0.2">
      <c r="A113" s="15" t="s">
        <v>137</v>
      </c>
      <c r="B113" s="23">
        <v>6000</v>
      </c>
      <c r="C113" s="23">
        <v>6000</v>
      </c>
      <c r="D113" s="23"/>
      <c r="E113" s="23">
        <f t="shared" si="21"/>
        <v>6000</v>
      </c>
      <c r="G113" s="63">
        <v>6662.82</v>
      </c>
    </row>
    <row r="114" spans="1:7" x14ac:dyDescent="0.2">
      <c r="A114" s="15" t="s">
        <v>129</v>
      </c>
      <c r="B114" s="23">
        <v>2000</v>
      </c>
      <c r="C114" s="23">
        <v>2000</v>
      </c>
      <c r="D114" s="23"/>
      <c r="E114" s="23">
        <f t="shared" si="21"/>
        <v>2000</v>
      </c>
      <c r="G114" s="63">
        <f>SUM(855.28+0.5)</f>
        <v>855.78</v>
      </c>
    </row>
    <row r="115" spans="1:7" s="8" customFormat="1" ht="15.75" x14ac:dyDescent="0.25">
      <c r="A115" s="13" t="s">
        <v>138</v>
      </c>
      <c r="B115" s="20">
        <v>44000</v>
      </c>
      <c r="C115" s="20">
        <v>44000</v>
      </c>
      <c r="D115" s="20">
        <v>6000</v>
      </c>
      <c r="E115" s="20">
        <f>SUM(C115:D115)</f>
        <v>50000</v>
      </c>
      <c r="G115" s="61">
        <v>83451.55</v>
      </c>
    </row>
    <row r="116" spans="1:7" s="8" customFormat="1" ht="15.75" x14ac:dyDescent="0.25">
      <c r="A116" s="13" t="s">
        <v>139</v>
      </c>
      <c r="B116" s="20">
        <v>800000</v>
      </c>
      <c r="C116" s="20">
        <v>800000</v>
      </c>
      <c r="D116" s="20">
        <v>30000</v>
      </c>
      <c r="E116" s="20">
        <f>SUM(C116:D116)</f>
        <v>830000</v>
      </c>
      <c r="G116" s="61">
        <f>SUM(647662.81+280+140)</f>
        <v>648082.81000000006</v>
      </c>
    </row>
    <row r="117" spans="1:7" ht="15.75" x14ac:dyDescent="0.25">
      <c r="A117" s="13" t="s">
        <v>140</v>
      </c>
      <c r="B117" s="20">
        <v>155800</v>
      </c>
      <c r="C117" s="20">
        <f>SUM(C118+C119+C122)</f>
        <v>155800</v>
      </c>
      <c r="D117" s="20">
        <f t="shared" ref="D117:E117" si="22">SUM(D118+D119+D122)</f>
        <v>0</v>
      </c>
      <c r="E117" s="20">
        <f t="shared" si="22"/>
        <v>155800</v>
      </c>
      <c r="G117" s="61">
        <f>SUM(G118+G119+G122)</f>
        <v>148275.32999999999</v>
      </c>
    </row>
    <row r="118" spans="1:7" x14ac:dyDescent="0.2">
      <c r="A118" s="14" t="s">
        <v>141</v>
      </c>
      <c r="B118" s="21">
        <v>19200</v>
      </c>
      <c r="C118" s="21">
        <f>SUM(1600*12)</f>
        <v>19200</v>
      </c>
      <c r="D118" s="21"/>
      <c r="E118" s="21">
        <f>SUM(C118:D118)</f>
        <v>19200</v>
      </c>
      <c r="G118" s="62">
        <v>17991.21</v>
      </c>
    </row>
    <row r="119" spans="1:7" x14ac:dyDescent="0.2">
      <c r="A119" s="14" t="s">
        <v>142</v>
      </c>
      <c r="B119" s="21">
        <v>20000</v>
      </c>
      <c r="C119" s="21">
        <f>SUM(C120:C121)</f>
        <v>20000</v>
      </c>
      <c r="D119" s="21">
        <f t="shared" ref="D119:E119" si="23">SUM(D120:D121)</f>
        <v>0</v>
      </c>
      <c r="E119" s="21">
        <f t="shared" si="23"/>
        <v>20000</v>
      </c>
      <c r="G119" s="62">
        <f>SUM(G120:G121)</f>
        <v>20088.419999999998</v>
      </c>
    </row>
    <row r="120" spans="1:7" x14ac:dyDescent="0.2">
      <c r="A120" s="15" t="s">
        <v>143</v>
      </c>
      <c r="B120" s="22">
        <v>8000</v>
      </c>
      <c r="C120" s="22">
        <v>8000</v>
      </c>
      <c r="D120" s="22"/>
      <c r="E120" s="22">
        <f>SUM(C120:D120)</f>
        <v>8000</v>
      </c>
      <c r="G120" s="64">
        <v>10203.69</v>
      </c>
    </row>
    <row r="121" spans="1:7" x14ac:dyDescent="0.2">
      <c r="A121" s="15" t="s">
        <v>144</v>
      </c>
      <c r="B121" s="22">
        <v>12000</v>
      </c>
      <c r="C121" s="22">
        <v>12000</v>
      </c>
      <c r="D121" s="22"/>
      <c r="E121" s="22">
        <f>SUM(C121:D121)</f>
        <v>12000</v>
      </c>
      <c r="G121" s="64">
        <f>SUM(1328.54+8556.19)</f>
        <v>9884.73</v>
      </c>
    </row>
    <row r="122" spans="1:7" x14ac:dyDescent="0.2">
      <c r="A122" s="14" t="s">
        <v>145</v>
      </c>
      <c r="B122" s="21">
        <v>116600</v>
      </c>
      <c r="C122" s="21">
        <f>SUM(C123:C136)</f>
        <v>116600</v>
      </c>
      <c r="D122" s="21">
        <f>SUM(D123:D136)</f>
        <v>0</v>
      </c>
      <c r="E122" s="21">
        <f>SUM(E123:E136)</f>
        <v>116600</v>
      </c>
      <c r="G122" s="62">
        <f>SUM(G123:G136)</f>
        <v>110195.7</v>
      </c>
    </row>
    <row r="123" spans="1:7" x14ac:dyDescent="0.2">
      <c r="A123" s="15" t="s">
        <v>195</v>
      </c>
      <c r="B123" s="23">
        <v>200</v>
      </c>
      <c r="C123" s="23">
        <v>200</v>
      </c>
      <c r="D123" s="23"/>
      <c r="E123" s="23">
        <f>SUM(C123:D123)</f>
        <v>200</v>
      </c>
      <c r="G123" s="63">
        <f>SUM(14+20.76+16.3)</f>
        <v>51.06</v>
      </c>
    </row>
    <row r="124" spans="1:7" x14ac:dyDescent="0.2">
      <c r="A124" s="15" t="s">
        <v>150</v>
      </c>
      <c r="B124" s="23">
        <v>50000</v>
      </c>
      <c r="C124" s="23">
        <v>50000</v>
      </c>
      <c r="D124" s="23"/>
      <c r="E124" s="23">
        <f t="shared" ref="E124:E136" si="24">SUM(C124:D124)</f>
        <v>50000</v>
      </c>
      <c r="G124" s="63">
        <f>SUM(6072+35650+4480)</f>
        <v>46202</v>
      </c>
    </row>
    <row r="125" spans="1:7" x14ac:dyDescent="0.2">
      <c r="A125" s="15" t="s">
        <v>196</v>
      </c>
      <c r="B125" s="23">
        <v>46000</v>
      </c>
      <c r="C125" s="23">
        <v>46000</v>
      </c>
      <c r="D125" s="23"/>
      <c r="E125" s="23">
        <f t="shared" si="24"/>
        <v>46000</v>
      </c>
      <c r="G125" s="63">
        <v>28489.39</v>
      </c>
    </row>
    <row r="126" spans="1:7" x14ac:dyDescent="0.2">
      <c r="A126" s="15" t="s">
        <v>151</v>
      </c>
      <c r="B126" s="23">
        <v>1000</v>
      </c>
      <c r="C126" s="23">
        <v>1000</v>
      </c>
      <c r="D126" s="23"/>
      <c r="E126" s="23">
        <f t="shared" si="24"/>
        <v>1000</v>
      </c>
      <c r="G126" s="63">
        <v>110</v>
      </c>
    </row>
    <row r="127" spans="1:7" x14ac:dyDescent="0.2">
      <c r="A127" s="15" t="s">
        <v>152</v>
      </c>
      <c r="B127" s="23">
        <v>1000</v>
      </c>
      <c r="C127" s="23">
        <v>1000</v>
      </c>
      <c r="D127" s="23"/>
      <c r="E127" s="23">
        <f t="shared" si="24"/>
        <v>1000</v>
      </c>
      <c r="G127" s="63">
        <v>543.63</v>
      </c>
    </row>
    <row r="128" spans="1:7" x14ac:dyDescent="0.2">
      <c r="A128" s="15" t="s">
        <v>153</v>
      </c>
      <c r="B128" s="23">
        <v>200</v>
      </c>
      <c r="C128" s="23">
        <v>200</v>
      </c>
      <c r="D128" s="23"/>
      <c r="E128" s="23">
        <f t="shared" si="24"/>
        <v>200</v>
      </c>
      <c r="G128" s="63">
        <v>170.31</v>
      </c>
    </row>
    <row r="129" spans="1:7" x14ac:dyDescent="0.2">
      <c r="A129" s="15" t="s">
        <v>156</v>
      </c>
      <c r="B129" s="23">
        <v>4000</v>
      </c>
      <c r="C129" s="23">
        <v>4000</v>
      </c>
      <c r="D129" s="23"/>
      <c r="E129" s="23">
        <f t="shared" si="24"/>
        <v>4000</v>
      </c>
      <c r="G129" s="63">
        <f>SUM(3420.71)</f>
        <v>3420.71</v>
      </c>
    </row>
    <row r="130" spans="1:7" x14ac:dyDescent="0.2">
      <c r="A130" s="15" t="s">
        <v>157</v>
      </c>
      <c r="B130" s="23">
        <v>2000</v>
      </c>
      <c r="C130" s="23">
        <v>2000</v>
      </c>
      <c r="D130" s="23"/>
      <c r="E130" s="23">
        <f t="shared" si="24"/>
        <v>2000</v>
      </c>
      <c r="G130" s="63">
        <f>SUM(196.01+1114.27)</f>
        <v>1310.28</v>
      </c>
    </row>
    <row r="131" spans="1:7" x14ac:dyDescent="0.2">
      <c r="A131" s="15" t="s">
        <v>158</v>
      </c>
      <c r="B131" s="23">
        <v>4300</v>
      </c>
      <c r="C131" s="23">
        <v>4300</v>
      </c>
      <c r="D131" s="23"/>
      <c r="E131" s="23">
        <f t="shared" si="24"/>
        <v>4300</v>
      </c>
      <c r="G131" s="63">
        <v>4280.6400000000003</v>
      </c>
    </row>
    <row r="132" spans="1:7" x14ac:dyDescent="0.2">
      <c r="A132" s="15" t="s">
        <v>159</v>
      </c>
      <c r="B132" s="23">
        <v>500</v>
      </c>
      <c r="C132" s="23">
        <v>500</v>
      </c>
      <c r="D132" s="23"/>
      <c r="E132" s="23">
        <f t="shared" si="24"/>
        <v>500</v>
      </c>
      <c r="G132" s="63">
        <v>402.86</v>
      </c>
    </row>
    <row r="133" spans="1:7" x14ac:dyDescent="0.2">
      <c r="A133" s="15" t="s">
        <v>160</v>
      </c>
      <c r="B133" s="23">
        <v>1400</v>
      </c>
      <c r="C133" s="23">
        <v>1400</v>
      </c>
      <c r="D133" s="23"/>
      <c r="E133" s="23">
        <f t="shared" si="24"/>
        <v>1400</v>
      </c>
      <c r="G133" s="63">
        <v>1253.1600000000001</v>
      </c>
    </row>
    <row r="134" spans="1:7" x14ac:dyDescent="0.2">
      <c r="A134" s="15" t="s">
        <v>210</v>
      </c>
      <c r="B134" s="23">
        <v>3000</v>
      </c>
      <c r="C134" s="23">
        <v>3000</v>
      </c>
      <c r="D134" s="23"/>
      <c r="E134" s="23">
        <f t="shared" si="24"/>
        <v>3000</v>
      </c>
      <c r="G134" s="63">
        <f>SUM(1650.82+14508.74)</f>
        <v>16159.56</v>
      </c>
    </row>
    <row r="135" spans="1:7" x14ac:dyDescent="0.2">
      <c r="A135" s="15" t="s">
        <v>211</v>
      </c>
      <c r="B135" s="23"/>
      <c r="C135" s="23"/>
      <c r="D135" s="23"/>
      <c r="E135" s="23"/>
      <c r="G135" s="63">
        <v>1359.23</v>
      </c>
    </row>
    <row r="136" spans="1:7" s="8" customFormat="1" x14ac:dyDescent="0.2">
      <c r="A136" s="15" t="s">
        <v>145</v>
      </c>
      <c r="B136" s="23">
        <v>3000</v>
      </c>
      <c r="C136" s="23">
        <v>3000</v>
      </c>
      <c r="D136" s="23"/>
      <c r="E136" s="23">
        <f t="shared" si="24"/>
        <v>3000</v>
      </c>
      <c r="G136" s="63">
        <f>SUM(-238.9+75+5144.24+82.79+1379.74)</f>
        <v>6442.87</v>
      </c>
    </row>
    <row r="137" spans="1:7" ht="15.75" x14ac:dyDescent="0.25">
      <c r="A137" s="13" t="s">
        <v>161</v>
      </c>
      <c r="B137" s="20">
        <f>SUM(B138:B140)</f>
        <v>14000</v>
      </c>
      <c r="C137" s="20">
        <f>SUM(C138:C140)</f>
        <v>14000</v>
      </c>
      <c r="D137" s="20">
        <f t="shared" ref="D137:E137" si="25">SUM(D138:D140)</f>
        <v>0</v>
      </c>
      <c r="E137" s="20">
        <f t="shared" si="25"/>
        <v>14000</v>
      </c>
      <c r="G137" s="61">
        <f>SUM(G138:G140)</f>
        <v>3825.57</v>
      </c>
    </row>
    <row r="138" spans="1:7" ht="42.75" x14ac:dyDescent="0.2">
      <c r="A138" s="51" t="s">
        <v>202</v>
      </c>
      <c r="B138" s="23">
        <v>6000</v>
      </c>
      <c r="C138" s="23">
        <v>6000</v>
      </c>
      <c r="D138" s="23"/>
      <c r="E138" s="23">
        <f>SUM(C138:D138)</f>
        <v>6000</v>
      </c>
      <c r="G138" s="63">
        <v>0</v>
      </c>
    </row>
    <row r="139" spans="1:7" ht="30.75" customHeight="1" x14ac:dyDescent="0.2">
      <c r="A139" s="51" t="s">
        <v>205</v>
      </c>
      <c r="B139" s="23">
        <v>6000</v>
      </c>
      <c r="C139" s="23">
        <v>6000</v>
      </c>
      <c r="D139" s="23"/>
      <c r="E139" s="23">
        <f t="shared" ref="E139:E140" si="26">SUM(C139:D139)</f>
        <v>6000</v>
      </c>
      <c r="G139" s="63">
        <f>SUM(552.66+547.26+541.83+536.39+530.91+525.41)</f>
        <v>3234.4599999999996</v>
      </c>
    </row>
    <row r="140" spans="1:7" x14ac:dyDescent="0.2">
      <c r="A140" s="52" t="s">
        <v>197</v>
      </c>
      <c r="B140" s="23">
        <v>2000</v>
      </c>
      <c r="C140" s="23">
        <v>2000</v>
      </c>
      <c r="D140" s="23"/>
      <c r="E140" s="23">
        <f t="shared" si="26"/>
        <v>2000</v>
      </c>
      <c r="G140" s="63">
        <f>SUM(3825.57-G139)</f>
        <v>591.11000000000058</v>
      </c>
    </row>
    <row r="141" spans="1:7" s="8" customFormat="1" ht="15.75" x14ac:dyDescent="0.25">
      <c r="A141" s="13" t="s">
        <v>166</v>
      </c>
      <c r="B141" s="20">
        <f>SUM(B40)</f>
        <v>1535000.1</v>
      </c>
      <c r="C141" s="20">
        <f>SUM(C40)</f>
        <v>1556000.1</v>
      </c>
      <c r="D141" s="20">
        <f>SUM(D40)</f>
        <v>37000</v>
      </c>
      <c r="E141" s="20">
        <f>SUM(E40)</f>
        <v>1593000.1</v>
      </c>
      <c r="G141" s="61">
        <f>SUM(G40)</f>
        <v>1306749.2599999998</v>
      </c>
    </row>
    <row r="142" spans="1:7" s="8" customFormat="1" ht="15.75" x14ac:dyDescent="0.25">
      <c r="A142" s="13" t="s">
        <v>167</v>
      </c>
      <c r="B142" s="20">
        <f>SUM(B137+B117+B116+B115+B77+B44)</f>
        <v>1532200</v>
      </c>
      <c r="C142" s="20">
        <f>SUM(C137+C117+C116+C115+C77+C44)</f>
        <v>1554200</v>
      </c>
      <c r="D142" s="20">
        <f>SUM(D137+D117+D116+D115+D77+D44)</f>
        <v>36000</v>
      </c>
      <c r="E142" s="20">
        <f>SUM(E137+E117+E116+E115+E77+E44)</f>
        <v>1590200</v>
      </c>
      <c r="G142" s="61">
        <f>SUM(G137+G117+G116+G115+G77+G44)</f>
        <v>1274275.4600000002</v>
      </c>
    </row>
    <row r="143" spans="1:7" s="8" customFormat="1" ht="15.75" x14ac:dyDescent="0.25">
      <c r="A143" s="13" t="s">
        <v>168</v>
      </c>
      <c r="B143" s="20">
        <f>SUM(B141-B142)</f>
        <v>2800.1000000000931</v>
      </c>
      <c r="C143" s="20">
        <f>SUM(C141-C142)</f>
        <v>1800.1000000000931</v>
      </c>
      <c r="D143" s="20">
        <f t="shared" ref="D143:E143" si="27">SUM(D141-D142)</f>
        <v>1000</v>
      </c>
      <c r="E143" s="20">
        <f t="shared" si="27"/>
        <v>2800.1000000000931</v>
      </c>
      <c r="G143" s="61">
        <f>SUM(G141-G142)</f>
        <v>32473.799999999581</v>
      </c>
    </row>
    <row r="149" spans="1:2" x14ac:dyDescent="0.2">
      <c r="A149" s="25"/>
      <c r="B149" s="25"/>
    </row>
    <row r="150" spans="1:2" x14ac:dyDescent="0.2">
      <c r="A150" s="25"/>
      <c r="B150" s="25"/>
    </row>
    <row r="151" spans="1:2" x14ac:dyDescent="0.2">
      <c r="A151" s="25"/>
      <c r="B151" s="25"/>
    </row>
  </sheetData>
  <mergeCells count="1">
    <mergeCell ref="A2:E2"/>
  </mergeCells>
  <printOptions horizontalCentered="1" verticalCentered="1"/>
  <pageMargins left="0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2"/>
  <sheetViews>
    <sheetView workbookViewId="0">
      <selection activeCell="G27" sqref="G27"/>
    </sheetView>
  </sheetViews>
  <sheetFormatPr defaultColWidth="20.28515625" defaultRowHeight="15" x14ac:dyDescent="0.2"/>
  <cols>
    <col min="1" max="1" width="81" style="16" bestFit="1" customWidth="1"/>
    <col min="2" max="2" width="16.85546875" style="16" customWidth="1"/>
    <col min="3" max="3" width="15.5703125" style="19" bestFit="1" customWidth="1"/>
    <col min="4" max="4" width="11.140625" style="19" bestFit="1" customWidth="1"/>
    <col min="5" max="5" width="16" style="19" bestFit="1" customWidth="1"/>
    <col min="6" max="6" width="12.7109375" style="19" bestFit="1" customWidth="1"/>
    <col min="7" max="16384" width="20.28515625" style="11"/>
  </cols>
  <sheetData>
    <row r="1" spans="1:6" s="8" customFormat="1" ht="15.75" x14ac:dyDescent="0.25">
      <c r="A1" s="86" t="s">
        <v>217</v>
      </c>
      <c r="B1" s="86"/>
      <c r="C1" s="86"/>
      <c r="D1" s="86"/>
      <c r="E1" s="86"/>
      <c r="F1" s="86"/>
    </row>
    <row r="2" spans="1:6" s="9" customFormat="1" ht="44.25" customHeight="1" x14ac:dyDescent="0.2">
      <c r="A2" s="30" t="s">
        <v>48</v>
      </c>
      <c r="B2" s="33" t="s">
        <v>216</v>
      </c>
      <c r="C2" s="33" t="s">
        <v>207</v>
      </c>
      <c r="D2" s="33" t="s">
        <v>206</v>
      </c>
      <c r="E2" s="33" t="s">
        <v>214</v>
      </c>
      <c r="F2" s="33" t="s">
        <v>200</v>
      </c>
    </row>
    <row r="3" spans="1:6" s="9" customFormat="1" ht="12.75" x14ac:dyDescent="0.2">
      <c r="A3" s="30"/>
      <c r="B3" s="34"/>
      <c r="C3" s="34" t="s">
        <v>190</v>
      </c>
      <c r="D3" s="34"/>
      <c r="E3" s="34"/>
      <c r="F3" s="34" t="s">
        <v>190</v>
      </c>
    </row>
    <row r="4" spans="1:6" x14ac:dyDescent="0.2">
      <c r="A4" s="24" t="s">
        <v>49</v>
      </c>
      <c r="B4" s="18">
        <v>55000</v>
      </c>
      <c r="C4" s="18">
        <f>SUM('Plan 2025.'!C5)</f>
        <v>55000</v>
      </c>
      <c r="D4" s="18">
        <f>SUM('Plan 2025.'!D5)</f>
        <v>0</v>
      </c>
      <c r="E4" s="18">
        <f>SUM(C4:D4)</f>
        <v>55000</v>
      </c>
      <c r="F4" s="18">
        <v>55000</v>
      </c>
    </row>
    <row r="5" spans="1:6" x14ac:dyDescent="0.2">
      <c r="A5" s="10" t="s">
        <v>172</v>
      </c>
      <c r="B5" s="18">
        <v>8000</v>
      </c>
      <c r="C5" s="18">
        <f>SUM('Plan 2025.'!C6)</f>
        <v>8000</v>
      </c>
      <c r="D5" s="18">
        <f>SUM('Plan 2025.'!D6)</f>
        <v>0</v>
      </c>
      <c r="E5" s="18">
        <f t="shared" ref="E5:E31" si="0">SUM(C5:D5)</f>
        <v>8000</v>
      </c>
      <c r="F5" s="18"/>
    </row>
    <row r="6" spans="1:6" ht="26.45" customHeight="1" x14ac:dyDescent="0.2">
      <c r="A6" s="24" t="s">
        <v>191</v>
      </c>
      <c r="B6" s="18">
        <v>35000</v>
      </c>
      <c r="C6" s="18">
        <f>SUM('Plan 2025.'!C7)</f>
        <v>35000</v>
      </c>
      <c r="D6" s="18">
        <f>SUM('Plan 2025.'!D7)</f>
        <v>0</v>
      </c>
      <c r="E6" s="18">
        <f t="shared" si="0"/>
        <v>35000</v>
      </c>
      <c r="F6" s="18"/>
    </row>
    <row r="7" spans="1:6" x14ac:dyDescent="0.2">
      <c r="A7" s="10" t="s">
        <v>50</v>
      </c>
      <c r="B7" s="18">
        <v>500000</v>
      </c>
      <c r="C7" s="18">
        <f>SUM('Plan 2025.'!C8)</f>
        <v>500000</v>
      </c>
      <c r="D7" s="18">
        <f>SUM('Plan 2025.'!D8)</f>
        <v>50000</v>
      </c>
      <c r="E7" s="18">
        <f t="shared" si="0"/>
        <v>550000</v>
      </c>
      <c r="F7" s="18"/>
    </row>
    <row r="8" spans="1:6" hidden="1" x14ac:dyDescent="0.2">
      <c r="A8" s="10" t="s">
        <v>51</v>
      </c>
      <c r="B8" s="18">
        <v>0</v>
      </c>
      <c r="C8" s="18">
        <f>SUM('Plan 2025.'!C9)</f>
        <v>0</v>
      </c>
      <c r="D8" s="18">
        <f>SUM('Plan 2025.'!D9)</f>
        <v>0</v>
      </c>
      <c r="E8" s="18">
        <f t="shared" si="0"/>
        <v>0</v>
      </c>
      <c r="F8" s="18"/>
    </row>
    <row r="9" spans="1:6" x14ac:dyDescent="0.2">
      <c r="A9" s="10" t="s">
        <v>52</v>
      </c>
      <c r="B9" s="18">
        <v>150000</v>
      </c>
      <c r="C9" s="18">
        <f>SUM('Plan 2025.'!C10)</f>
        <v>150000</v>
      </c>
      <c r="D9" s="18">
        <f>SUM('Plan 2025.'!D10)</f>
        <v>0</v>
      </c>
      <c r="E9" s="18">
        <f t="shared" si="0"/>
        <v>150000</v>
      </c>
      <c r="F9" s="18"/>
    </row>
    <row r="10" spans="1:6" x14ac:dyDescent="0.2">
      <c r="A10" s="10" t="s">
        <v>53</v>
      </c>
      <c r="B10" s="18">
        <v>27000</v>
      </c>
      <c r="C10" s="18">
        <f>SUM('Plan 2025.'!C11)</f>
        <v>27000</v>
      </c>
      <c r="D10" s="18">
        <f>SUM('Plan 2025.'!D11)</f>
        <v>0</v>
      </c>
      <c r="E10" s="18">
        <f t="shared" si="0"/>
        <v>27000</v>
      </c>
      <c r="F10" s="18"/>
    </row>
    <row r="11" spans="1:6" x14ac:dyDescent="0.2">
      <c r="A11" s="24" t="s">
        <v>54</v>
      </c>
      <c r="B11" s="18">
        <v>6000</v>
      </c>
      <c r="C11" s="18">
        <f>SUM('Plan 2025.'!C12)</f>
        <v>6000</v>
      </c>
      <c r="D11" s="18">
        <f>SUM('Plan 2025.'!D12)</f>
        <v>0</v>
      </c>
      <c r="E11" s="18">
        <f t="shared" si="0"/>
        <v>6000</v>
      </c>
      <c r="F11" s="18"/>
    </row>
    <row r="12" spans="1:6" x14ac:dyDescent="0.2">
      <c r="A12" s="24" t="s">
        <v>55</v>
      </c>
      <c r="B12" s="18">
        <v>25000</v>
      </c>
      <c r="C12" s="18">
        <f>SUM('Plan 2025.'!C13)</f>
        <v>25000</v>
      </c>
      <c r="D12" s="18">
        <f>SUM('Plan 2025.'!D13)</f>
        <v>0</v>
      </c>
      <c r="E12" s="18">
        <f t="shared" si="0"/>
        <v>25000</v>
      </c>
      <c r="F12" s="18"/>
    </row>
    <row r="13" spans="1:6" x14ac:dyDescent="0.2">
      <c r="A13" s="24" t="s">
        <v>56</v>
      </c>
      <c r="B13" s="18">
        <v>10000</v>
      </c>
      <c r="C13" s="18">
        <f>SUM('Plan 2025.'!C14)</f>
        <v>10000</v>
      </c>
      <c r="D13" s="18">
        <f>SUM('Plan 2025.'!D14)</f>
        <v>0</v>
      </c>
      <c r="E13" s="18">
        <f t="shared" si="0"/>
        <v>10000</v>
      </c>
      <c r="F13" s="18"/>
    </row>
    <row r="14" spans="1:6" x14ac:dyDescent="0.2">
      <c r="A14" s="24" t="s">
        <v>57</v>
      </c>
      <c r="B14" s="18">
        <v>10000</v>
      </c>
      <c r="C14" s="18">
        <f>SUM('Plan 2025.'!C15)</f>
        <v>10000</v>
      </c>
      <c r="D14" s="18">
        <f>SUM('Plan 2025.'!D15)</f>
        <v>0</v>
      </c>
      <c r="E14" s="18">
        <f t="shared" si="0"/>
        <v>10000</v>
      </c>
      <c r="F14" s="18"/>
    </row>
    <row r="15" spans="1:6" x14ac:dyDescent="0.2">
      <c r="A15" s="10" t="s">
        <v>58</v>
      </c>
      <c r="B15" s="18">
        <v>135000</v>
      </c>
      <c r="C15" s="18">
        <f>SUM('Plan 2025.'!C16)</f>
        <v>150000</v>
      </c>
      <c r="D15" s="18">
        <f>SUM('Plan 2025.'!D16)</f>
        <v>0</v>
      </c>
      <c r="E15" s="18">
        <f t="shared" si="0"/>
        <v>150000</v>
      </c>
      <c r="F15" s="18"/>
    </row>
    <row r="16" spans="1:6" x14ac:dyDescent="0.2">
      <c r="A16" s="10" t="s">
        <v>59</v>
      </c>
      <c r="B16" s="18">
        <v>10000</v>
      </c>
      <c r="C16" s="18">
        <f>SUM('Plan 2025.'!C17)</f>
        <v>10000</v>
      </c>
      <c r="D16" s="18">
        <f>SUM('Plan 2025.'!D17)</f>
        <v>0</v>
      </c>
      <c r="E16" s="18">
        <f t="shared" si="0"/>
        <v>10000</v>
      </c>
      <c r="F16" s="18"/>
    </row>
    <row r="17" spans="1:6" x14ac:dyDescent="0.2">
      <c r="A17" s="24" t="s">
        <v>60</v>
      </c>
      <c r="B17" s="18">
        <v>34000</v>
      </c>
      <c r="C17" s="18">
        <f>SUM('Plan 2025.'!C18)</f>
        <v>34000</v>
      </c>
      <c r="D17" s="18">
        <f>SUM('Plan 2025.'!D18)</f>
        <v>0</v>
      </c>
      <c r="E17" s="18">
        <f t="shared" si="0"/>
        <v>34000</v>
      </c>
      <c r="F17" s="18"/>
    </row>
    <row r="18" spans="1:6" x14ac:dyDescent="0.2">
      <c r="A18" s="24" t="s">
        <v>61</v>
      </c>
      <c r="B18" s="18">
        <v>18000</v>
      </c>
      <c r="C18" s="18">
        <f>SUM('Plan 2025.'!C19)</f>
        <v>18000</v>
      </c>
      <c r="D18" s="18">
        <f>SUM('Plan 2025.'!D19)</f>
        <v>0</v>
      </c>
      <c r="E18" s="18">
        <f t="shared" si="0"/>
        <v>18000</v>
      </c>
      <c r="F18" s="18"/>
    </row>
    <row r="19" spans="1:6" hidden="1" x14ac:dyDescent="0.2">
      <c r="A19" s="10" t="s">
        <v>62</v>
      </c>
      <c r="B19" s="18"/>
      <c r="C19" s="18">
        <v>0</v>
      </c>
      <c r="D19" s="18">
        <f>SUM('Plan 2025.'!D20)</f>
        <v>0</v>
      </c>
      <c r="E19" s="18">
        <f t="shared" si="0"/>
        <v>0</v>
      </c>
      <c r="F19" s="18"/>
    </row>
    <row r="20" spans="1:6" x14ac:dyDescent="0.2">
      <c r="A20" s="12" t="s">
        <v>173</v>
      </c>
      <c r="B20" s="18">
        <v>10000</v>
      </c>
      <c r="C20" s="18">
        <f>SUM('Plan 2025.'!C21)</f>
        <v>10000</v>
      </c>
      <c r="D20" s="18">
        <f>SUM('Plan 2025.'!D21)</f>
        <v>0</v>
      </c>
      <c r="E20" s="18">
        <f t="shared" si="0"/>
        <v>10000</v>
      </c>
      <c r="F20" s="18"/>
    </row>
    <row r="21" spans="1:6" x14ac:dyDescent="0.2">
      <c r="A21" s="10" t="s">
        <v>192</v>
      </c>
      <c r="B21" s="18">
        <v>78000</v>
      </c>
      <c r="C21" s="18">
        <f>SUM('Plan 2025.'!C22)</f>
        <v>78000</v>
      </c>
      <c r="D21" s="18">
        <f>SUM('Plan 2025.'!D22)</f>
        <v>0</v>
      </c>
      <c r="E21" s="18">
        <f t="shared" si="0"/>
        <v>78000</v>
      </c>
      <c r="F21" s="18"/>
    </row>
    <row r="22" spans="1:6" x14ac:dyDescent="0.2">
      <c r="A22" s="10" t="s">
        <v>63</v>
      </c>
      <c r="B22" s="18">
        <v>90000</v>
      </c>
      <c r="C22" s="18">
        <f>SUM('Plan 2025.'!C23)</f>
        <v>90000</v>
      </c>
      <c r="D22" s="18">
        <f>SUM('Plan 2025.'!D23)</f>
        <v>0</v>
      </c>
      <c r="E22" s="18">
        <f t="shared" si="0"/>
        <v>90000</v>
      </c>
      <c r="F22" s="18"/>
    </row>
    <row r="23" spans="1:6" hidden="1" x14ac:dyDescent="0.2">
      <c r="A23" s="10" t="s">
        <v>64</v>
      </c>
      <c r="B23" s="18">
        <v>0</v>
      </c>
      <c r="C23" s="18"/>
      <c r="D23" s="18">
        <f>SUM('Plan 2025.'!D24)</f>
        <v>0</v>
      </c>
      <c r="E23" s="18">
        <f t="shared" si="0"/>
        <v>0</v>
      </c>
      <c r="F23" s="18"/>
    </row>
    <row r="24" spans="1:6" x14ac:dyDescent="0.2">
      <c r="A24" s="10" t="s">
        <v>65</v>
      </c>
      <c r="B24" s="18">
        <v>40000</v>
      </c>
      <c r="C24" s="18">
        <f>SUM('Plan 2025.'!C25)</f>
        <v>40000</v>
      </c>
      <c r="D24" s="18">
        <f>SUM('Plan 2025.'!D25)</f>
        <v>0</v>
      </c>
      <c r="E24" s="18">
        <f t="shared" si="0"/>
        <v>40000</v>
      </c>
      <c r="F24" s="18"/>
    </row>
    <row r="25" spans="1:6" x14ac:dyDescent="0.2">
      <c r="A25" s="10" t="s">
        <v>66</v>
      </c>
      <c r="B25" s="18">
        <v>2000</v>
      </c>
      <c r="C25" s="18">
        <f>SUM('Plan 2025.'!C26)</f>
        <v>2000</v>
      </c>
      <c r="D25" s="18">
        <f>SUM('Plan 2025.'!D26)</f>
        <v>0</v>
      </c>
      <c r="E25" s="18">
        <f t="shared" si="0"/>
        <v>2000</v>
      </c>
      <c r="F25" s="18">
        <v>2000</v>
      </c>
    </row>
    <row r="26" spans="1:6" x14ac:dyDescent="0.2">
      <c r="A26" s="24" t="s">
        <v>67</v>
      </c>
      <c r="B26" s="18">
        <v>28000</v>
      </c>
      <c r="C26" s="18">
        <f>SUM('Plan 2025.'!C27)</f>
        <v>28000</v>
      </c>
      <c r="D26" s="18">
        <f>SUM('Plan 2025.'!D27)</f>
        <v>0</v>
      </c>
      <c r="E26" s="18">
        <f t="shared" si="0"/>
        <v>28000</v>
      </c>
      <c r="F26" s="18"/>
    </row>
    <row r="27" spans="1:6" x14ac:dyDescent="0.2">
      <c r="A27" s="24" t="s">
        <v>68</v>
      </c>
      <c r="B27" s="18">
        <v>32000</v>
      </c>
      <c r="C27" s="18">
        <f>SUM('Plan 2025.'!C28)</f>
        <v>32000</v>
      </c>
      <c r="D27" s="18">
        <f>SUM('Plan 2025.'!D28)</f>
        <v>0</v>
      </c>
      <c r="E27" s="18">
        <f t="shared" si="0"/>
        <v>32000</v>
      </c>
      <c r="F27" s="18"/>
    </row>
    <row r="28" spans="1:6" x14ac:dyDescent="0.2">
      <c r="A28" s="10" t="s">
        <v>69</v>
      </c>
      <c r="B28" s="18">
        <v>105000</v>
      </c>
      <c r="C28" s="18">
        <f>SUM('Plan 2025.'!C29)</f>
        <v>105000</v>
      </c>
      <c r="D28" s="18">
        <f>SUM('Plan 2025.'!D29)</f>
        <v>7000</v>
      </c>
      <c r="E28" s="18">
        <f t="shared" si="0"/>
        <v>112000</v>
      </c>
      <c r="F28" s="18">
        <v>25000</v>
      </c>
    </row>
    <row r="29" spans="1:6" x14ac:dyDescent="0.2">
      <c r="A29" s="10" t="s">
        <v>70</v>
      </c>
      <c r="B29" s="18">
        <v>50000</v>
      </c>
      <c r="C29" s="18">
        <f>SUM('Plan 2025.'!C30)</f>
        <v>50000</v>
      </c>
      <c r="D29" s="18">
        <f>SUM('Plan 2025.'!D30)</f>
        <v>0</v>
      </c>
      <c r="E29" s="18">
        <f t="shared" si="0"/>
        <v>50000</v>
      </c>
      <c r="F29" s="18">
        <v>50000</v>
      </c>
    </row>
    <row r="30" spans="1:6" hidden="1" x14ac:dyDescent="0.2">
      <c r="A30" s="10"/>
      <c r="B30" s="18">
        <v>0</v>
      </c>
      <c r="C30" s="18"/>
      <c r="D30" s="18">
        <f>SUM('Plan 2025.'!D31)</f>
        <v>0</v>
      </c>
      <c r="E30" s="18">
        <f t="shared" si="0"/>
        <v>0</v>
      </c>
      <c r="F30" s="18"/>
    </row>
    <row r="31" spans="1:6" x14ac:dyDescent="0.2">
      <c r="A31" s="24" t="s">
        <v>180</v>
      </c>
      <c r="B31" s="18">
        <v>61000</v>
      </c>
      <c r="C31" s="18">
        <v>67000</v>
      </c>
      <c r="D31" s="18">
        <f>SUM('Plan 2025.'!D32)</f>
        <v>-20000</v>
      </c>
      <c r="E31" s="18">
        <f t="shared" si="0"/>
        <v>47000</v>
      </c>
      <c r="F31" s="18"/>
    </row>
    <row r="32" spans="1:6" s="8" customFormat="1" ht="15.75" x14ac:dyDescent="0.25">
      <c r="A32" s="31" t="s">
        <v>71</v>
      </c>
      <c r="B32" s="32">
        <f>SUM(B4:B31)</f>
        <v>1519000</v>
      </c>
      <c r="C32" s="32">
        <f>SUM(C4:C31)</f>
        <v>1540000</v>
      </c>
      <c r="D32" s="32">
        <f t="shared" ref="D32:E32" si="1">SUM(D4:D31)</f>
        <v>37000</v>
      </c>
      <c r="E32" s="32">
        <f t="shared" si="1"/>
        <v>1577000</v>
      </c>
      <c r="F32" s="32">
        <f t="shared" ref="F32" si="2">SUM(F4:F31)</f>
        <v>132000</v>
      </c>
    </row>
    <row r="33" spans="1:6" x14ac:dyDescent="0.2">
      <c r="A33" s="10" t="s">
        <v>174</v>
      </c>
      <c r="B33" s="18">
        <v>1000</v>
      </c>
      <c r="C33" s="18">
        <f>SUM('Plan 2025.'!C34)</f>
        <v>1000</v>
      </c>
      <c r="D33" s="18"/>
      <c r="E33" s="18">
        <f>SUM(C33:D33)</f>
        <v>1000</v>
      </c>
      <c r="F33" s="18"/>
    </row>
    <row r="34" spans="1:6" x14ac:dyDescent="0.2">
      <c r="A34" s="10" t="s">
        <v>183</v>
      </c>
      <c r="B34" s="18">
        <v>1000</v>
      </c>
      <c r="C34" s="18">
        <f>SUM('Plan 2025.'!C35)</f>
        <v>1000</v>
      </c>
      <c r="D34" s="18"/>
      <c r="E34" s="18">
        <f t="shared" ref="E34:E38" si="3">SUM(C34:D34)</f>
        <v>1000</v>
      </c>
      <c r="F34" s="18"/>
    </row>
    <row r="35" spans="1:6" x14ac:dyDescent="0.2">
      <c r="A35" s="10" t="s">
        <v>72</v>
      </c>
      <c r="B35" s="18">
        <v>10000.1</v>
      </c>
      <c r="C35" s="18">
        <f>SUM('Plan 2025.'!C36)</f>
        <v>10000.1</v>
      </c>
      <c r="D35" s="18"/>
      <c r="E35" s="18">
        <f t="shared" si="3"/>
        <v>10000.1</v>
      </c>
      <c r="F35" s="18"/>
    </row>
    <row r="36" spans="1:6" x14ac:dyDescent="0.2">
      <c r="A36" s="10" t="s">
        <v>73</v>
      </c>
      <c r="B36" s="18">
        <v>1000</v>
      </c>
      <c r="C36" s="18">
        <f>SUM('Plan 2025.'!C37)</f>
        <v>1000</v>
      </c>
      <c r="D36" s="18"/>
      <c r="E36" s="18">
        <f t="shared" si="3"/>
        <v>1000</v>
      </c>
      <c r="F36" s="18"/>
    </row>
    <row r="37" spans="1:6" x14ac:dyDescent="0.2">
      <c r="A37" s="10" t="s">
        <v>177</v>
      </c>
      <c r="B37" s="18">
        <v>1000</v>
      </c>
      <c r="C37" s="18">
        <f>SUM('Plan 2025.'!C38)</f>
        <v>1000</v>
      </c>
      <c r="D37" s="18"/>
      <c r="E37" s="18">
        <f t="shared" si="3"/>
        <v>1000</v>
      </c>
      <c r="F37" s="18"/>
    </row>
    <row r="38" spans="1:6" x14ac:dyDescent="0.2">
      <c r="A38" s="10" t="s">
        <v>74</v>
      </c>
      <c r="B38" s="18">
        <v>2000</v>
      </c>
      <c r="C38" s="18">
        <f>SUM('Plan 2025.'!C39)</f>
        <v>2000</v>
      </c>
      <c r="D38" s="18"/>
      <c r="E38" s="18">
        <f t="shared" si="3"/>
        <v>2000</v>
      </c>
      <c r="F38" s="18"/>
    </row>
    <row r="39" spans="1:6" s="8" customFormat="1" ht="15.75" x14ac:dyDescent="0.25">
      <c r="A39" s="31" t="s">
        <v>75</v>
      </c>
      <c r="B39" s="32">
        <f>SUM(B32:B38)</f>
        <v>1535000.1</v>
      </c>
      <c r="C39" s="32">
        <f>SUM(C32:C38)</f>
        <v>1556000.1</v>
      </c>
      <c r="D39" s="32">
        <f t="shared" ref="D39:E39" si="4">SUM(D32:D38)</f>
        <v>37000</v>
      </c>
      <c r="E39" s="32">
        <f t="shared" si="4"/>
        <v>1593000.1</v>
      </c>
      <c r="F39" s="32">
        <f t="shared" ref="F39" si="5">SUM(F32:F38)</f>
        <v>132000</v>
      </c>
    </row>
    <row r="40" spans="1:6" s="8" customFormat="1" ht="16.5" hidden="1" customHeight="1" x14ac:dyDescent="0.25">
      <c r="A40" s="26"/>
      <c r="B40" s="27"/>
      <c r="C40" s="27"/>
      <c r="D40" s="27"/>
      <c r="E40" s="27"/>
      <c r="F40" s="27"/>
    </row>
    <row r="41" spans="1:6" s="9" customFormat="1" ht="38.25" x14ac:dyDescent="0.2">
      <c r="A41" s="30" t="s">
        <v>76</v>
      </c>
      <c r="B41" s="33" t="s">
        <v>216</v>
      </c>
      <c r="C41" s="33" t="s">
        <v>207</v>
      </c>
      <c r="D41" s="33" t="s">
        <v>206</v>
      </c>
      <c r="E41" s="33" t="s">
        <v>214</v>
      </c>
      <c r="F41" s="33" t="s">
        <v>200</v>
      </c>
    </row>
    <row r="42" spans="1:6" s="8" customFormat="1" ht="12.75" x14ac:dyDescent="0.2">
      <c r="A42" s="31"/>
      <c r="B42" s="34"/>
      <c r="C42" s="34" t="s">
        <v>190</v>
      </c>
      <c r="D42" s="34"/>
      <c r="E42" s="34"/>
      <c r="F42" s="34" t="s">
        <v>190</v>
      </c>
    </row>
    <row r="43" spans="1:6" s="8" customFormat="1" ht="15.75" x14ac:dyDescent="0.25">
      <c r="A43" s="31" t="s">
        <v>77</v>
      </c>
      <c r="B43" s="32">
        <f>SUM(B44:B72)</f>
        <v>164900</v>
      </c>
      <c r="C43" s="32">
        <f>SUM(C44+C60+C65+C66+C72)</f>
        <v>170900</v>
      </c>
      <c r="D43" s="32">
        <f t="shared" ref="D43:E43" si="6">SUM(D44+D60+D65+D66+D72)</f>
        <v>0</v>
      </c>
      <c r="E43" s="32">
        <f t="shared" si="6"/>
        <v>170900</v>
      </c>
      <c r="F43" s="32">
        <f t="shared" ref="F43" si="7">SUM(F44+F60+F65+F66+F72)</f>
        <v>32400</v>
      </c>
    </row>
    <row r="44" spans="1:6" x14ac:dyDescent="0.2">
      <c r="A44" s="35" t="s">
        <v>78</v>
      </c>
      <c r="B44" s="36">
        <v>104500</v>
      </c>
      <c r="C44" s="36">
        <f>SUM('Plan 2025.'!C45)</f>
        <v>104500</v>
      </c>
      <c r="D44" s="36">
        <f>SUM('Plan 2025.'!D45)</f>
        <v>0</v>
      </c>
      <c r="E44" s="36">
        <f>SUM(C44:D44)</f>
        <v>104500</v>
      </c>
      <c r="F44" s="36">
        <v>28000</v>
      </c>
    </row>
    <row r="45" spans="1:6" hidden="1" x14ac:dyDescent="0.2">
      <c r="A45" s="15" t="s">
        <v>79</v>
      </c>
      <c r="B45" s="23"/>
      <c r="C45" s="23"/>
      <c r="D45" s="23"/>
      <c r="E45" s="36">
        <f t="shared" ref="E45:E72" si="8">SUM(C45:D45)</f>
        <v>0</v>
      </c>
      <c r="F45" s="36">
        <f t="shared" ref="F45:F71" si="9">SUM(C45*0.14)</f>
        <v>0</v>
      </c>
    </row>
    <row r="46" spans="1:6" hidden="1" x14ac:dyDescent="0.2">
      <c r="A46" s="15" t="s">
        <v>80</v>
      </c>
      <c r="B46" s="22"/>
      <c r="C46" s="22"/>
      <c r="D46" s="22"/>
      <c r="E46" s="36">
        <f t="shared" si="8"/>
        <v>0</v>
      </c>
      <c r="F46" s="36">
        <f t="shared" si="9"/>
        <v>0</v>
      </c>
    </row>
    <row r="47" spans="1:6" hidden="1" x14ac:dyDescent="0.2">
      <c r="A47" s="15" t="s">
        <v>81</v>
      </c>
      <c r="B47" s="22"/>
      <c r="C47" s="22"/>
      <c r="D47" s="22"/>
      <c r="E47" s="36">
        <f t="shared" si="8"/>
        <v>0</v>
      </c>
      <c r="F47" s="36">
        <f t="shared" si="9"/>
        <v>0</v>
      </c>
    </row>
    <row r="48" spans="1:6" hidden="1" x14ac:dyDescent="0.2">
      <c r="A48" s="15" t="s">
        <v>82</v>
      </c>
      <c r="B48" s="22"/>
      <c r="C48" s="22"/>
      <c r="D48" s="22"/>
      <c r="E48" s="36">
        <f t="shared" si="8"/>
        <v>0</v>
      </c>
      <c r="F48" s="36">
        <f t="shared" si="9"/>
        <v>0</v>
      </c>
    </row>
    <row r="49" spans="1:6" hidden="1" x14ac:dyDescent="0.2">
      <c r="A49" s="15" t="s">
        <v>83</v>
      </c>
      <c r="B49" s="23"/>
      <c r="C49" s="23"/>
      <c r="D49" s="23"/>
      <c r="E49" s="36">
        <f t="shared" si="8"/>
        <v>0</v>
      </c>
      <c r="F49" s="36">
        <f t="shared" si="9"/>
        <v>0</v>
      </c>
    </row>
    <row r="50" spans="1:6" hidden="1" x14ac:dyDescent="0.2">
      <c r="A50" s="15" t="s">
        <v>84</v>
      </c>
      <c r="B50" s="22"/>
      <c r="C50" s="22"/>
      <c r="D50" s="22"/>
      <c r="E50" s="36">
        <f t="shared" si="8"/>
        <v>0</v>
      </c>
      <c r="F50" s="36">
        <f t="shared" si="9"/>
        <v>0</v>
      </c>
    </row>
    <row r="51" spans="1:6" hidden="1" x14ac:dyDescent="0.2">
      <c r="A51" s="15" t="s">
        <v>85</v>
      </c>
      <c r="B51" s="22"/>
      <c r="C51" s="22"/>
      <c r="D51" s="22"/>
      <c r="E51" s="36">
        <f t="shared" si="8"/>
        <v>0</v>
      </c>
      <c r="F51" s="36">
        <f t="shared" si="9"/>
        <v>0</v>
      </c>
    </row>
    <row r="52" spans="1:6" hidden="1" x14ac:dyDescent="0.2">
      <c r="A52" s="15" t="s">
        <v>86</v>
      </c>
      <c r="B52" s="22"/>
      <c r="C52" s="22"/>
      <c r="D52" s="22"/>
      <c r="E52" s="36">
        <f t="shared" si="8"/>
        <v>0</v>
      </c>
      <c r="F52" s="36">
        <f t="shared" si="9"/>
        <v>0</v>
      </c>
    </row>
    <row r="53" spans="1:6" hidden="1" x14ac:dyDescent="0.2">
      <c r="A53" s="15" t="s">
        <v>87</v>
      </c>
      <c r="B53" s="22"/>
      <c r="C53" s="22"/>
      <c r="D53" s="22"/>
      <c r="E53" s="36">
        <f t="shared" si="8"/>
        <v>0</v>
      </c>
      <c r="F53" s="36">
        <f t="shared" si="9"/>
        <v>0</v>
      </c>
    </row>
    <row r="54" spans="1:6" hidden="1" x14ac:dyDescent="0.2">
      <c r="A54" s="15" t="s">
        <v>178</v>
      </c>
      <c r="B54" s="22"/>
      <c r="C54" s="22"/>
      <c r="D54" s="22"/>
      <c r="E54" s="36">
        <f t="shared" si="8"/>
        <v>0</v>
      </c>
      <c r="F54" s="36">
        <f t="shared" si="9"/>
        <v>0</v>
      </c>
    </row>
    <row r="55" spans="1:6" hidden="1" x14ac:dyDescent="0.2">
      <c r="A55" s="15" t="s">
        <v>179</v>
      </c>
      <c r="B55" s="22"/>
      <c r="C55" s="22"/>
      <c r="D55" s="22"/>
      <c r="E55" s="36">
        <f t="shared" si="8"/>
        <v>0</v>
      </c>
      <c r="F55" s="36">
        <f t="shared" si="9"/>
        <v>0</v>
      </c>
    </row>
    <row r="56" spans="1:6" hidden="1" x14ac:dyDescent="0.2">
      <c r="A56" s="15" t="s">
        <v>184</v>
      </c>
      <c r="B56" s="22"/>
      <c r="C56" s="22"/>
      <c r="D56" s="22"/>
      <c r="E56" s="36">
        <f t="shared" si="8"/>
        <v>0</v>
      </c>
      <c r="F56" s="36">
        <f t="shared" si="9"/>
        <v>0</v>
      </c>
    </row>
    <row r="57" spans="1:6" hidden="1" x14ac:dyDescent="0.2">
      <c r="A57" s="15" t="s">
        <v>88</v>
      </c>
      <c r="B57" s="22"/>
      <c r="C57" s="22"/>
      <c r="D57" s="22"/>
      <c r="E57" s="36">
        <f t="shared" si="8"/>
        <v>0</v>
      </c>
      <c r="F57" s="36">
        <f t="shared" si="9"/>
        <v>0</v>
      </c>
    </row>
    <row r="58" spans="1:6" hidden="1" x14ac:dyDescent="0.2">
      <c r="A58" s="15" t="s">
        <v>181</v>
      </c>
      <c r="B58" s="22"/>
      <c r="C58" s="22"/>
      <c r="D58" s="22"/>
      <c r="E58" s="36">
        <f t="shared" si="8"/>
        <v>0</v>
      </c>
      <c r="F58" s="36">
        <f t="shared" si="9"/>
        <v>0</v>
      </c>
    </row>
    <row r="59" spans="1:6" hidden="1" x14ac:dyDescent="0.2">
      <c r="A59" s="15" t="s">
        <v>89</v>
      </c>
      <c r="B59" s="22"/>
      <c r="C59" s="22"/>
      <c r="D59" s="22"/>
      <c r="E59" s="36">
        <f t="shared" si="8"/>
        <v>0</v>
      </c>
      <c r="F59" s="36">
        <f t="shared" si="9"/>
        <v>0</v>
      </c>
    </row>
    <row r="60" spans="1:6" x14ac:dyDescent="0.2">
      <c r="A60" s="35" t="s">
        <v>90</v>
      </c>
      <c r="B60" s="36">
        <v>41000</v>
      </c>
      <c r="C60" s="36">
        <f>SUM('Plan 2025.'!C62)</f>
        <v>47000</v>
      </c>
      <c r="D60" s="36">
        <f>SUM('Plan 2025.'!D62)</f>
        <v>0</v>
      </c>
      <c r="E60" s="36">
        <f t="shared" si="8"/>
        <v>47000</v>
      </c>
      <c r="F60" s="36">
        <v>4000</v>
      </c>
    </row>
    <row r="61" spans="1:6" hidden="1" x14ac:dyDescent="0.2">
      <c r="A61" s="15" t="s">
        <v>91</v>
      </c>
      <c r="B61" s="22"/>
      <c r="C61" s="22"/>
      <c r="D61" s="22"/>
      <c r="E61" s="36">
        <f t="shared" si="8"/>
        <v>0</v>
      </c>
      <c r="F61" s="36">
        <f t="shared" si="9"/>
        <v>0</v>
      </c>
    </row>
    <row r="62" spans="1:6" hidden="1" x14ac:dyDescent="0.2">
      <c r="A62" s="15" t="s">
        <v>92</v>
      </c>
      <c r="B62" s="22"/>
      <c r="C62" s="22"/>
      <c r="D62" s="22"/>
      <c r="E62" s="36">
        <f t="shared" si="8"/>
        <v>0</v>
      </c>
      <c r="F62" s="36">
        <f t="shared" si="9"/>
        <v>0</v>
      </c>
    </row>
    <row r="63" spans="1:6" hidden="1" x14ac:dyDescent="0.2">
      <c r="A63" s="15" t="s">
        <v>93</v>
      </c>
      <c r="B63" s="23"/>
      <c r="C63" s="23"/>
      <c r="D63" s="23"/>
      <c r="E63" s="36">
        <f t="shared" si="8"/>
        <v>0</v>
      </c>
      <c r="F63" s="36">
        <f t="shared" si="9"/>
        <v>0</v>
      </c>
    </row>
    <row r="64" spans="1:6" hidden="1" x14ac:dyDescent="0.2">
      <c r="A64" s="15" t="s">
        <v>94</v>
      </c>
      <c r="B64" s="23"/>
      <c r="C64" s="23"/>
      <c r="D64" s="23"/>
      <c r="E64" s="36">
        <f t="shared" si="8"/>
        <v>0</v>
      </c>
      <c r="F64" s="36">
        <f t="shared" si="9"/>
        <v>0</v>
      </c>
    </row>
    <row r="65" spans="1:6" x14ac:dyDescent="0.2">
      <c r="A65" s="35" t="s">
        <v>95</v>
      </c>
      <c r="B65" s="36">
        <v>4000</v>
      </c>
      <c r="C65" s="36">
        <f>SUM('Plan 2025.'!C67)</f>
        <v>4000</v>
      </c>
      <c r="D65" s="36">
        <f>SUM('Plan 2025.'!D67)</f>
        <v>0</v>
      </c>
      <c r="E65" s="36">
        <f t="shared" si="8"/>
        <v>4000</v>
      </c>
      <c r="F65" s="36">
        <v>400</v>
      </c>
    </row>
    <row r="66" spans="1:6" x14ac:dyDescent="0.2">
      <c r="A66" s="35" t="s">
        <v>96</v>
      </c>
      <c r="B66" s="36">
        <v>15000</v>
      </c>
      <c r="C66" s="36">
        <f>SUM('Plan 2025.'!C68)</f>
        <v>15000</v>
      </c>
      <c r="D66" s="36">
        <f>SUM('Plan 2025.'!D68)</f>
        <v>0</v>
      </c>
      <c r="E66" s="36">
        <f t="shared" si="8"/>
        <v>15000</v>
      </c>
      <c r="F66" s="36"/>
    </row>
    <row r="67" spans="1:6" hidden="1" x14ac:dyDescent="0.2">
      <c r="A67" s="15" t="s">
        <v>97</v>
      </c>
      <c r="B67" s="22"/>
      <c r="C67" s="22"/>
      <c r="D67" s="22"/>
      <c r="E67" s="36">
        <f t="shared" si="8"/>
        <v>0</v>
      </c>
      <c r="F67" s="36">
        <f t="shared" si="9"/>
        <v>0</v>
      </c>
    </row>
    <row r="68" spans="1:6" hidden="1" x14ac:dyDescent="0.2">
      <c r="A68" s="15" t="s">
        <v>176</v>
      </c>
      <c r="B68" s="22"/>
      <c r="C68" s="22"/>
      <c r="D68" s="22"/>
      <c r="E68" s="36">
        <f t="shared" si="8"/>
        <v>0</v>
      </c>
      <c r="F68" s="36">
        <f t="shared" si="9"/>
        <v>0</v>
      </c>
    </row>
    <row r="69" spans="1:6" hidden="1" x14ac:dyDescent="0.2">
      <c r="A69" s="15" t="s">
        <v>175</v>
      </c>
      <c r="B69" s="22"/>
      <c r="C69" s="22"/>
      <c r="D69" s="22"/>
      <c r="E69" s="36">
        <f t="shared" si="8"/>
        <v>0</v>
      </c>
      <c r="F69" s="36">
        <f t="shared" si="9"/>
        <v>0</v>
      </c>
    </row>
    <row r="70" spans="1:6" hidden="1" x14ac:dyDescent="0.2">
      <c r="A70" s="15" t="s">
        <v>98</v>
      </c>
      <c r="B70" s="22"/>
      <c r="C70" s="22"/>
      <c r="D70" s="22"/>
      <c r="E70" s="36">
        <f t="shared" si="8"/>
        <v>0</v>
      </c>
      <c r="F70" s="36">
        <f t="shared" si="9"/>
        <v>0</v>
      </c>
    </row>
    <row r="71" spans="1:6" hidden="1" x14ac:dyDescent="0.2">
      <c r="A71" s="15" t="s">
        <v>99</v>
      </c>
      <c r="B71" s="22"/>
      <c r="C71" s="22"/>
      <c r="D71" s="22"/>
      <c r="E71" s="36">
        <f t="shared" si="8"/>
        <v>0</v>
      </c>
      <c r="F71" s="36">
        <f t="shared" si="9"/>
        <v>0</v>
      </c>
    </row>
    <row r="72" spans="1:6" x14ac:dyDescent="0.2">
      <c r="A72" s="35" t="s">
        <v>100</v>
      </c>
      <c r="B72" s="36">
        <v>400</v>
      </c>
      <c r="C72" s="36">
        <f>SUM('Plan 2025.'!C74)</f>
        <v>400</v>
      </c>
      <c r="D72" s="36">
        <f>SUM('Plan 2025.'!D74)</f>
        <v>0</v>
      </c>
      <c r="E72" s="36">
        <f t="shared" si="8"/>
        <v>400</v>
      </c>
      <c r="F72" s="36"/>
    </row>
    <row r="73" spans="1:6" hidden="1" x14ac:dyDescent="0.2">
      <c r="A73" s="15" t="s">
        <v>101</v>
      </c>
      <c r="B73" s="23"/>
      <c r="C73" s="23">
        <v>300</v>
      </c>
      <c r="D73" s="23"/>
      <c r="E73" s="23"/>
      <c r="F73" s="23"/>
    </row>
    <row r="74" spans="1:6" hidden="1" x14ac:dyDescent="0.2">
      <c r="A74" s="15" t="s">
        <v>102</v>
      </c>
      <c r="B74" s="23"/>
      <c r="C74" s="23">
        <v>20</v>
      </c>
      <c r="D74" s="23"/>
      <c r="E74" s="23"/>
      <c r="F74" s="23"/>
    </row>
    <row r="75" spans="1:6" hidden="1" x14ac:dyDescent="0.2">
      <c r="A75" s="15" t="s">
        <v>103</v>
      </c>
      <c r="B75" s="23"/>
      <c r="C75" s="23">
        <v>300</v>
      </c>
      <c r="D75" s="23"/>
      <c r="E75" s="23"/>
      <c r="F75" s="23"/>
    </row>
    <row r="76" spans="1:6" s="8" customFormat="1" ht="15.75" x14ac:dyDescent="0.25">
      <c r="A76" s="31" t="s">
        <v>104</v>
      </c>
      <c r="B76" s="32">
        <f>SUM(B77:B103)</f>
        <v>353500</v>
      </c>
      <c r="C76" s="32">
        <f>SUM(C77+C81+C94+C99+C103)</f>
        <v>369500</v>
      </c>
      <c r="D76" s="32">
        <f t="shared" ref="D76:E76" si="10">SUM(D77+D81+D94+D99+D103)</f>
        <v>0</v>
      </c>
      <c r="E76" s="32">
        <f t="shared" si="10"/>
        <v>369500</v>
      </c>
      <c r="F76" s="32">
        <f t="shared" ref="F76" si="11">SUM(F77+F81+F94+F99+F103)</f>
        <v>6800</v>
      </c>
    </row>
    <row r="77" spans="1:6" x14ac:dyDescent="0.2">
      <c r="A77" s="35" t="s">
        <v>105</v>
      </c>
      <c r="B77" s="36">
        <v>12500</v>
      </c>
      <c r="C77" s="36">
        <f>SUM('Plan 2025.'!C78)</f>
        <v>12500</v>
      </c>
      <c r="D77" s="36">
        <f>SUM('Plan 2025.'!D78)</f>
        <v>0</v>
      </c>
      <c r="E77" s="36">
        <f>SUM(C77:D77)</f>
        <v>12500</v>
      </c>
      <c r="F77" s="36">
        <v>1200</v>
      </c>
    </row>
    <row r="78" spans="1:6" hidden="1" x14ac:dyDescent="0.2">
      <c r="A78" s="15" t="s">
        <v>106</v>
      </c>
      <c r="B78" s="23"/>
      <c r="C78" s="23"/>
      <c r="D78" s="23"/>
      <c r="E78" s="36">
        <f t="shared" ref="E78:E103" si="12">SUM(C78:D78)</f>
        <v>0</v>
      </c>
      <c r="F78" s="36">
        <f t="shared" ref="F78:F102" si="13">SUM(C78*0.14)</f>
        <v>0</v>
      </c>
    </row>
    <row r="79" spans="1:6" hidden="1" x14ac:dyDescent="0.2">
      <c r="A79" s="15" t="s">
        <v>107</v>
      </c>
      <c r="B79" s="23"/>
      <c r="C79" s="23"/>
      <c r="D79" s="23"/>
      <c r="E79" s="36">
        <f t="shared" si="12"/>
        <v>0</v>
      </c>
      <c r="F79" s="36">
        <f t="shared" si="13"/>
        <v>0</v>
      </c>
    </row>
    <row r="80" spans="1:6" hidden="1" x14ac:dyDescent="0.2">
      <c r="A80" s="15" t="s">
        <v>108</v>
      </c>
      <c r="B80" s="23"/>
      <c r="C80" s="23"/>
      <c r="D80" s="23"/>
      <c r="E80" s="36">
        <f t="shared" si="12"/>
        <v>0</v>
      </c>
      <c r="F80" s="36">
        <f t="shared" si="13"/>
        <v>0</v>
      </c>
    </row>
    <row r="81" spans="1:6" x14ac:dyDescent="0.2">
      <c r="A81" s="35" t="s">
        <v>109</v>
      </c>
      <c r="B81" s="36">
        <v>231000</v>
      </c>
      <c r="C81" s="36">
        <f>SUM('Plan 2025.'!C82)</f>
        <v>241000</v>
      </c>
      <c r="D81" s="36">
        <f>SUM('Plan 2025.'!D82)</f>
        <v>0</v>
      </c>
      <c r="E81" s="36">
        <f t="shared" si="12"/>
        <v>241000</v>
      </c>
      <c r="F81" s="36"/>
    </row>
    <row r="82" spans="1:6" hidden="1" x14ac:dyDescent="0.2">
      <c r="A82" s="15" t="s">
        <v>110</v>
      </c>
      <c r="B82" s="22"/>
      <c r="C82" s="22"/>
      <c r="D82" s="22"/>
      <c r="E82" s="36">
        <f t="shared" si="12"/>
        <v>0</v>
      </c>
      <c r="F82" s="36">
        <f t="shared" si="13"/>
        <v>0</v>
      </c>
    </row>
    <row r="83" spans="1:6" hidden="1" x14ac:dyDescent="0.2">
      <c r="A83" s="15" t="s">
        <v>111</v>
      </c>
      <c r="B83" s="22"/>
      <c r="C83" s="22"/>
      <c r="D83" s="22"/>
      <c r="E83" s="36">
        <f t="shared" si="12"/>
        <v>0</v>
      </c>
      <c r="F83" s="36">
        <f t="shared" si="13"/>
        <v>0</v>
      </c>
    </row>
    <row r="84" spans="1:6" hidden="1" x14ac:dyDescent="0.2">
      <c r="A84" s="17" t="s">
        <v>112</v>
      </c>
      <c r="B84" s="22"/>
      <c r="C84" s="22"/>
      <c r="D84" s="22"/>
      <c r="E84" s="36">
        <f t="shared" si="12"/>
        <v>0</v>
      </c>
      <c r="F84" s="36">
        <f t="shared" si="13"/>
        <v>0</v>
      </c>
    </row>
    <row r="85" spans="1:6" hidden="1" x14ac:dyDescent="0.2">
      <c r="A85" s="17" t="s">
        <v>113</v>
      </c>
      <c r="B85" s="22"/>
      <c r="C85" s="22"/>
      <c r="D85" s="22"/>
      <c r="E85" s="36">
        <f t="shared" si="12"/>
        <v>0</v>
      </c>
      <c r="F85" s="36">
        <f t="shared" si="13"/>
        <v>0</v>
      </c>
    </row>
    <row r="86" spans="1:6" hidden="1" x14ac:dyDescent="0.2">
      <c r="A86" s="15" t="s">
        <v>114</v>
      </c>
      <c r="B86" s="22"/>
      <c r="C86" s="22"/>
      <c r="D86" s="22"/>
      <c r="E86" s="36">
        <f t="shared" si="12"/>
        <v>0</v>
      </c>
      <c r="F86" s="36">
        <f t="shared" si="13"/>
        <v>0</v>
      </c>
    </row>
    <row r="87" spans="1:6" hidden="1" x14ac:dyDescent="0.2">
      <c r="A87" s="15" t="s">
        <v>115</v>
      </c>
      <c r="B87" s="22"/>
      <c r="C87" s="22"/>
      <c r="D87" s="22"/>
      <c r="E87" s="36">
        <f t="shared" si="12"/>
        <v>0</v>
      </c>
      <c r="F87" s="36">
        <f t="shared" si="13"/>
        <v>0</v>
      </c>
    </row>
    <row r="88" spans="1:6" hidden="1" x14ac:dyDescent="0.2">
      <c r="A88" s="15" t="s">
        <v>185</v>
      </c>
      <c r="B88" s="22"/>
      <c r="C88" s="22"/>
      <c r="D88" s="22"/>
      <c r="E88" s="36">
        <f t="shared" si="12"/>
        <v>0</v>
      </c>
      <c r="F88" s="36">
        <f t="shared" si="13"/>
        <v>0</v>
      </c>
    </row>
    <row r="89" spans="1:6" hidden="1" x14ac:dyDescent="0.2">
      <c r="A89" s="15" t="s">
        <v>116</v>
      </c>
      <c r="B89" s="22"/>
      <c r="C89" s="22"/>
      <c r="D89" s="22"/>
      <c r="E89" s="36">
        <f t="shared" si="12"/>
        <v>0</v>
      </c>
      <c r="F89" s="36">
        <f t="shared" si="13"/>
        <v>0</v>
      </c>
    </row>
    <row r="90" spans="1:6" hidden="1" x14ac:dyDescent="0.2">
      <c r="A90" s="15" t="s">
        <v>193</v>
      </c>
      <c r="B90" s="22"/>
      <c r="C90" s="22"/>
      <c r="D90" s="22"/>
      <c r="E90" s="36">
        <f t="shared" si="12"/>
        <v>0</v>
      </c>
      <c r="F90" s="36">
        <f t="shared" si="13"/>
        <v>0</v>
      </c>
    </row>
    <row r="91" spans="1:6" hidden="1" x14ac:dyDescent="0.2">
      <c r="A91" s="15" t="s">
        <v>117</v>
      </c>
      <c r="B91" s="22"/>
      <c r="C91" s="22"/>
      <c r="D91" s="22"/>
      <c r="E91" s="36">
        <f t="shared" si="12"/>
        <v>0</v>
      </c>
      <c r="F91" s="36">
        <f t="shared" si="13"/>
        <v>0</v>
      </c>
    </row>
    <row r="92" spans="1:6" hidden="1" x14ac:dyDescent="0.2">
      <c r="A92" s="15" t="s">
        <v>118</v>
      </c>
      <c r="B92" s="22"/>
      <c r="C92" s="22"/>
      <c r="D92" s="22"/>
      <c r="E92" s="36">
        <f t="shared" si="12"/>
        <v>0</v>
      </c>
      <c r="F92" s="36">
        <f t="shared" si="13"/>
        <v>0</v>
      </c>
    </row>
    <row r="93" spans="1:6" hidden="1" x14ac:dyDescent="0.2">
      <c r="A93" s="15" t="s">
        <v>119</v>
      </c>
      <c r="B93" s="22"/>
      <c r="C93" s="22"/>
      <c r="D93" s="22"/>
      <c r="E93" s="36">
        <f t="shared" si="12"/>
        <v>0</v>
      </c>
      <c r="F93" s="36">
        <f t="shared" si="13"/>
        <v>0</v>
      </c>
    </row>
    <row r="94" spans="1:6" x14ac:dyDescent="0.2">
      <c r="A94" s="35" t="s">
        <v>120</v>
      </c>
      <c r="B94" s="36">
        <v>47000</v>
      </c>
      <c r="C94" s="36">
        <f>SUM('Plan 2025.'!C93)</f>
        <v>47000</v>
      </c>
      <c r="D94" s="36">
        <f>SUM('Plan 2025.'!D93)</f>
        <v>0</v>
      </c>
      <c r="E94" s="36">
        <f t="shared" si="12"/>
        <v>47000</v>
      </c>
      <c r="F94" s="36">
        <v>4200</v>
      </c>
    </row>
    <row r="95" spans="1:6" hidden="1" x14ac:dyDescent="0.2">
      <c r="A95" s="15" t="s">
        <v>121</v>
      </c>
      <c r="B95" s="22"/>
      <c r="C95" s="22"/>
      <c r="D95" s="22"/>
      <c r="E95" s="36">
        <f t="shared" si="12"/>
        <v>0</v>
      </c>
      <c r="F95" s="36">
        <f t="shared" si="13"/>
        <v>0</v>
      </c>
    </row>
    <row r="96" spans="1:6" hidden="1" x14ac:dyDescent="0.2">
      <c r="A96" s="15" t="s">
        <v>122</v>
      </c>
      <c r="B96" s="22"/>
      <c r="C96" s="22"/>
      <c r="D96" s="22"/>
      <c r="E96" s="36">
        <f t="shared" si="12"/>
        <v>0</v>
      </c>
      <c r="F96" s="36">
        <f t="shared" si="13"/>
        <v>0</v>
      </c>
    </row>
    <row r="97" spans="1:6" hidden="1" x14ac:dyDescent="0.2">
      <c r="A97" s="15" t="s">
        <v>123</v>
      </c>
      <c r="B97" s="22"/>
      <c r="C97" s="22"/>
      <c r="D97" s="22"/>
      <c r="E97" s="36">
        <f t="shared" si="12"/>
        <v>0</v>
      </c>
      <c r="F97" s="36">
        <f t="shared" si="13"/>
        <v>0</v>
      </c>
    </row>
    <row r="98" spans="1:6" hidden="1" x14ac:dyDescent="0.2">
      <c r="A98" s="15" t="s">
        <v>124</v>
      </c>
      <c r="B98" s="22"/>
      <c r="C98" s="22"/>
      <c r="D98" s="22"/>
      <c r="E98" s="36">
        <f t="shared" si="12"/>
        <v>0</v>
      </c>
      <c r="F98" s="36">
        <f t="shared" si="13"/>
        <v>0</v>
      </c>
    </row>
    <row r="99" spans="1:6" x14ac:dyDescent="0.2">
      <c r="A99" s="35" t="s">
        <v>125</v>
      </c>
      <c r="B99" s="36">
        <v>16000</v>
      </c>
      <c r="C99" s="36">
        <f>SUM('Plan 2025.'!C98)</f>
        <v>16000</v>
      </c>
      <c r="D99" s="36">
        <f>SUM('Plan 2025.'!D98)</f>
        <v>0</v>
      </c>
      <c r="E99" s="36">
        <f t="shared" si="12"/>
        <v>16000</v>
      </c>
      <c r="F99" s="36">
        <v>1400</v>
      </c>
    </row>
    <row r="100" spans="1:6" hidden="1" x14ac:dyDescent="0.2">
      <c r="A100" s="15" t="s">
        <v>126</v>
      </c>
      <c r="B100" s="22"/>
      <c r="C100" s="22"/>
      <c r="D100" s="22"/>
      <c r="E100" s="36">
        <f t="shared" si="12"/>
        <v>0</v>
      </c>
      <c r="F100" s="36">
        <f t="shared" si="13"/>
        <v>0</v>
      </c>
    </row>
    <row r="101" spans="1:6" hidden="1" x14ac:dyDescent="0.2">
      <c r="A101" s="15" t="s">
        <v>127</v>
      </c>
      <c r="B101" s="22"/>
      <c r="C101" s="22"/>
      <c r="D101" s="22"/>
      <c r="E101" s="36">
        <f t="shared" si="12"/>
        <v>0</v>
      </c>
      <c r="F101" s="36">
        <f t="shared" si="13"/>
        <v>0</v>
      </c>
    </row>
    <row r="102" spans="1:6" hidden="1" x14ac:dyDescent="0.2">
      <c r="A102" s="15" t="s">
        <v>128</v>
      </c>
      <c r="B102" s="22"/>
      <c r="C102" s="22"/>
      <c r="D102" s="22"/>
      <c r="E102" s="36">
        <f t="shared" si="12"/>
        <v>0</v>
      </c>
      <c r="F102" s="36">
        <f t="shared" si="13"/>
        <v>0</v>
      </c>
    </row>
    <row r="103" spans="1:6" x14ac:dyDescent="0.2">
      <c r="A103" s="35" t="s">
        <v>129</v>
      </c>
      <c r="B103" s="36">
        <v>47000</v>
      </c>
      <c r="C103" s="36">
        <f>SUM('Plan 2025.'!C102)</f>
        <v>53000</v>
      </c>
      <c r="D103" s="36">
        <f>SUM('Plan 2025.'!D102)</f>
        <v>0</v>
      </c>
      <c r="E103" s="36">
        <f t="shared" si="12"/>
        <v>53000</v>
      </c>
      <c r="F103" s="36"/>
    </row>
    <row r="104" spans="1:6" hidden="1" x14ac:dyDescent="0.2">
      <c r="A104" s="15" t="s">
        <v>130</v>
      </c>
      <c r="B104" s="22"/>
      <c r="C104" s="22">
        <v>300</v>
      </c>
      <c r="D104" s="22"/>
      <c r="E104" s="22"/>
      <c r="F104" s="22"/>
    </row>
    <row r="105" spans="1:6" hidden="1" x14ac:dyDescent="0.2">
      <c r="A105" s="15" t="s">
        <v>131</v>
      </c>
      <c r="B105" s="23"/>
      <c r="C105" s="23">
        <v>300</v>
      </c>
      <c r="D105" s="23"/>
      <c r="E105" s="23"/>
      <c r="F105" s="23"/>
    </row>
    <row r="106" spans="1:6" hidden="1" x14ac:dyDescent="0.2">
      <c r="A106" s="15" t="s">
        <v>132</v>
      </c>
      <c r="B106" s="22"/>
      <c r="C106" s="22">
        <v>300</v>
      </c>
      <c r="D106" s="22"/>
      <c r="E106" s="22"/>
      <c r="F106" s="22"/>
    </row>
    <row r="107" spans="1:6" hidden="1" x14ac:dyDescent="0.2">
      <c r="A107" s="15" t="s">
        <v>133</v>
      </c>
      <c r="B107" s="22"/>
      <c r="C107" s="22">
        <v>300</v>
      </c>
      <c r="D107" s="22"/>
      <c r="E107" s="22"/>
      <c r="F107" s="22"/>
    </row>
    <row r="108" spans="1:6" hidden="1" x14ac:dyDescent="0.2">
      <c r="A108" s="15" t="s">
        <v>134</v>
      </c>
      <c r="B108" s="23"/>
      <c r="C108" s="23">
        <v>5300</v>
      </c>
      <c r="D108" s="23"/>
      <c r="E108" s="23"/>
      <c r="F108" s="23"/>
    </row>
    <row r="109" spans="1:6" hidden="1" x14ac:dyDescent="0.2">
      <c r="A109" s="15" t="s">
        <v>135</v>
      </c>
      <c r="B109" s="23"/>
      <c r="C109" s="23">
        <v>300</v>
      </c>
      <c r="D109" s="23"/>
      <c r="E109" s="23"/>
      <c r="F109" s="23"/>
    </row>
    <row r="110" spans="1:6" hidden="1" x14ac:dyDescent="0.2">
      <c r="A110" s="15" t="s">
        <v>188</v>
      </c>
      <c r="B110" s="22"/>
      <c r="C110" s="22">
        <v>4000</v>
      </c>
      <c r="D110" s="22"/>
      <c r="E110" s="22"/>
      <c r="F110" s="22"/>
    </row>
    <row r="111" spans="1:6" hidden="1" x14ac:dyDescent="0.2">
      <c r="A111" s="15" t="s">
        <v>187</v>
      </c>
      <c r="B111" s="22"/>
      <c r="C111" s="22">
        <v>2700</v>
      </c>
      <c r="D111" s="22"/>
      <c r="E111" s="22"/>
      <c r="F111" s="22"/>
    </row>
    <row r="112" spans="1:6" hidden="1" x14ac:dyDescent="0.2">
      <c r="A112" s="15" t="s">
        <v>171</v>
      </c>
      <c r="B112" s="22"/>
      <c r="C112" s="22">
        <v>3300</v>
      </c>
      <c r="D112" s="22"/>
      <c r="E112" s="22"/>
      <c r="F112" s="22"/>
    </row>
    <row r="113" spans="1:6" hidden="1" x14ac:dyDescent="0.2">
      <c r="A113" s="15" t="s">
        <v>170</v>
      </c>
      <c r="B113" s="22"/>
      <c r="C113" s="22">
        <v>700</v>
      </c>
      <c r="D113" s="22"/>
      <c r="E113" s="22"/>
      <c r="F113" s="22"/>
    </row>
    <row r="114" spans="1:6" hidden="1" x14ac:dyDescent="0.2">
      <c r="A114" s="15" t="s">
        <v>169</v>
      </c>
      <c r="B114" s="22"/>
      <c r="C114" s="22">
        <v>2000</v>
      </c>
      <c r="D114" s="22"/>
      <c r="E114" s="22"/>
      <c r="F114" s="22"/>
    </row>
    <row r="115" spans="1:6" hidden="1" x14ac:dyDescent="0.2">
      <c r="A115" s="28" t="s">
        <v>186</v>
      </c>
      <c r="B115" s="22"/>
      <c r="C115" s="22">
        <v>700</v>
      </c>
      <c r="D115" s="22"/>
      <c r="E115" s="22"/>
      <c r="F115" s="22"/>
    </row>
    <row r="116" spans="1:6" hidden="1" x14ac:dyDescent="0.2">
      <c r="A116" s="15" t="s">
        <v>136</v>
      </c>
      <c r="B116" s="23"/>
      <c r="C116" s="23">
        <v>1100</v>
      </c>
      <c r="D116" s="23"/>
      <c r="E116" s="23"/>
      <c r="F116" s="23"/>
    </row>
    <row r="117" spans="1:6" hidden="1" x14ac:dyDescent="0.2">
      <c r="A117" s="15" t="s">
        <v>137</v>
      </c>
      <c r="B117" s="23"/>
      <c r="C117" s="23">
        <v>2700</v>
      </c>
      <c r="D117" s="23"/>
      <c r="E117" s="23"/>
      <c r="F117" s="23"/>
    </row>
    <row r="118" spans="1:6" hidden="1" x14ac:dyDescent="0.2">
      <c r="A118" s="15" t="s">
        <v>129</v>
      </c>
      <c r="B118" s="23"/>
      <c r="C118" s="23">
        <v>1300</v>
      </c>
      <c r="D118" s="23"/>
      <c r="E118" s="23"/>
      <c r="F118" s="23"/>
    </row>
    <row r="119" spans="1:6" s="8" customFormat="1" ht="15.75" x14ac:dyDescent="0.25">
      <c r="A119" s="31" t="s">
        <v>138</v>
      </c>
      <c r="B119" s="32">
        <v>44000</v>
      </c>
      <c r="C119" s="32">
        <f>SUM('Plan 2025.'!C115)</f>
        <v>44000</v>
      </c>
      <c r="D119" s="32">
        <f>SUM('Plan 2025.'!D115)</f>
        <v>6000</v>
      </c>
      <c r="E119" s="32">
        <f>SUM(C119:D119)</f>
        <v>50000</v>
      </c>
      <c r="F119" s="32">
        <v>4000</v>
      </c>
    </row>
    <row r="120" spans="1:6" s="8" customFormat="1" ht="15.75" x14ac:dyDescent="0.25">
      <c r="A120" s="31" t="s">
        <v>139</v>
      </c>
      <c r="B120" s="32">
        <v>800000</v>
      </c>
      <c r="C120" s="32">
        <f>SUM('Plan 2025.'!C116)</f>
        <v>800000</v>
      </c>
      <c r="D120" s="32">
        <f>SUM('Plan 2025.'!D116)</f>
        <v>30000</v>
      </c>
      <c r="E120" s="32">
        <f>SUM(C120:D120)</f>
        <v>830000</v>
      </c>
      <c r="F120" s="32">
        <v>70000</v>
      </c>
    </row>
    <row r="121" spans="1:6" s="8" customFormat="1" ht="15.75" x14ac:dyDescent="0.25">
      <c r="A121" s="31" t="s">
        <v>140</v>
      </c>
      <c r="B121" s="32">
        <f>SUM(B122:B126)</f>
        <v>155800</v>
      </c>
      <c r="C121" s="32">
        <f>SUM(C122+C123+C126)</f>
        <v>155800</v>
      </c>
      <c r="D121" s="32">
        <f t="shared" ref="D121:E121" si="14">SUM(D122+D123+D126)</f>
        <v>0</v>
      </c>
      <c r="E121" s="32">
        <f t="shared" si="14"/>
        <v>155800</v>
      </c>
      <c r="F121" s="32">
        <f t="shared" ref="F121" si="15">SUM(F122+F123+F126)</f>
        <v>15600</v>
      </c>
    </row>
    <row r="122" spans="1:6" x14ac:dyDescent="0.2">
      <c r="A122" s="35" t="s">
        <v>141</v>
      </c>
      <c r="B122" s="36">
        <v>19200</v>
      </c>
      <c r="C122" s="36">
        <f>SUM('Plan 2025.'!C118)</f>
        <v>19200</v>
      </c>
      <c r="D122" s="36">
        <f>SUM('Plan 2025.'!D118)</f>
        <v>0</v>
      </c>
      <c r="E122" s="36">
        <f>SUM(C122:D122)</f>
        <v>19200</v>
      </c>
      <c r="F122" s="36">
        <v>1800</v>
      </c>
    </row>
    <row r="123" spans="1:6" x14ac:dyDescent="0.2">
      <c r="A123" s="35" t="s">
        <v>142</v>
      </c>
      <c r="B123" s="36">
        <v>20000</v>
      </c>
      <c r="C123" s="36">
        <f>SUM('Plan 2025.'!C119)</f>
        <v>20000</v>
      </c>
      <c r="D123" s="36">
        <f>SUM('Plan 2025.'!D119)</f>
        <v>0</v>
      </c>
      <c r="E123" s="36">
        <f t="shared" ref="E123:E126" si="16">SUM(C123:D123)</f>
        <v>20000</v>
      </c>
      <c r="F123" s="36">
        <v>1800</v>
      </c>
    </row>
    <row r="124" spans="1:6" hidden="1" x14ac:dyDescent="0.2">
      <c r="A124" s="15" t="s">
        <v>143</v>
      </c>
      <c r="B124" s="22"/>
      <c r="C124" s="22"/>
      <c r="D124" s="22"/>
      <c r="E124" s="36">
        <f t="shared" si="16"/>
        <v>0</v>
      </c>
      <c r="F124" s="22"/>
    </row>
    <row r="125" spans="1:6" hidden="1" x14ac:dyDescent="0.2">
      <c r="A125" s="15" t="s">
        <v>144</v>
      </c>
      <c r="B125" s="22"/>
      <c r="C125" s="22"/>
      <c r="D125" s="22"/>
      <c r="E125" s="36">
        <f t="shared" si="16"/>
        <v>0</v>
      </c>
      <c r="F125" s="22"/>
    </row>
    <row r="126" spans="1:6" x14ac:dyDescent="0.2">
      <c r="A126" s="35" t="s">
        <v>145</v>
      </c>
      <c r="B126" s="36">
        <v>116600</v>
      </c>
      <c r="C126" s="36">
        <f>SUM('Plan 2025.'!C122)</f>
        <v>116600</v>
      </c>
      <c r="D126" s="36">
        <f>SUM('Plan 2025.'!D122)</f>
        <v>0</v>
      </c>
      <c r="E126" s="36">
        <f t="shared" si="16"/>
        <v>116600</v>
      </c>
      <c r="F126" s="36">
        <v>12000</v>
      </c>
    </row>
    <row r="127" spans="1:6" hidden="1" x14ac:dyDescent="0.2">
      <c r="A127" s="15" t="s">
        <v>146</v>
      </c>
      <c r="B127" s="23"/>
      <c r="C127" s="23">
        <v>300</v>
      </c>
      <c r="D127" s="23"/>
      <c r="E127" s="23"/>
      <c r="F127" s="23"/>
    </row>
    <row r="128" spans="1:6" hidden="1" x14ac:dyDescent="0.2">
      <c r="A128" s="15" t="s">
        <v>147</v>
      </c>
      <c r="B128" s="23"/>
      <c r="C128" s="23">
        <v>300</v>
      </c>
      <c r="D128" s="23"/>
      <c r="E128" s="23"/>
      <c r="F128" s="23"/>
    </row>
    <row r="129" spans="1:6" hidden="1" x14ac:dyDescent="0.2">
      <c r="A129" s="15" t="s">
        <v>148</v>
      </c>
      <c r="B129" s="23"/>
      <c r="C129" s="23">
        <v>700</v>
      </c>
      <c r="D129" s="23"/>
      <c r="E129" s="23"/>
      <c r="F129" s="23"/>
    </row>
    <row r="130" spans="1:6" hidden="1" x14ac:dyDescent="0.2">
      <c r="A130" s="15" t="s">
        <v>149</v>
      </c>
      <c r="B130" s="23"/>
      <c r="C130" s="23">
        <v>1100</v>
      </c>
      <c r="D130" s="23"/>
      <c r="E130" s="23"/>
      <c r="F130" s="23"/>
    </row>
    <row r="131" spans="1:6" hidden="1" x14ac:dyDescent="0.2">
      <c r="A131" s="15" t="s">
        <v>150</v>
      </c>
      <c r="B131" s="23"/>
      <c r="C131" s="23">
        <v>60000</v>
      </c>
      <c r="D131" s="23"/>
      <c r="E131" s="23"/>
      <c r="F131" s="23"/>
    </row>
    <row r="132" spans="1:6" hidden="1" x14ac:dyDescent="0.2">
      <c r="A132" s="15" t="s">
        <v>151</v>
      </c>
      <c r="B132" s="23"/>
      <c r="C132" s="23">
        <v>2000</v>
      </c>
      <c r="D132" s="23"/>
      <c r="E132" s="23"/>
      <c r="F132" s="23"/>
    </row>
    <row r="133" spans="1:6" hidden="1" x14ac:dyDescent="0.2">
      <c r="A133" s="15" t="s">
        <v>152</v>
      </c>
      <c r="B133" s="23"/>
      <c r="C133" s="23">
        <v>300</v>
      </c>
      <c r="D133" s="23"/>
      <c r="E133" s="23"/>
      <c r="F133" s="23"/>
    </row>
    <row r="134" spans="1:6" hidden="1" x14ac:dyDescent="0.2">
      <c r="A134" s="15" t="s">
        <v>153</v>
      </c>
      <c r="B134" s="23"/>
      <c r="C134" s="23">
        <v>400</v>
      </c>
      <c r="D134" s="23"/>
      <c r="E134" s="23"/>
      <c r="F134" s="23"/>
    </row>
    <row r="135" spans="1:6" hidden="1" x14ac:dyDescent="0.2">
      <c r="A135" s="15" t="s">
        <v>154</v>
      </c>
      <c r="B135" s="23"/>
      <c r="C135" s="23">
        <v>300</v>
      </c>
      <c r="D135" s="23"/>
      <c r="E135" s="23"/>
      <c r="F135" s="23"/>
    </row>
    <row r="136" spans="1:6" hidden="1" x14ac:dyDescent="0.2">
      <c r="A136" s="15" t="s">
        <v>155</v>
      </c>
      <c r="B136" s="23"/>
      <c r="C136" s="23">
        <v>300</v>
      </c>
      <c r="D136" s="23"/>
      <c r="E136" s="23"/>
      <c r="F136" s="23"/>
    </row>
    <row r="137" spans="1:6" hidden="1" x14ac:dyDescent="0.2">
      <c r="A137" s="15" t="s">
        <v>156</v>
      </c>
      <c r="B137" s="23"/>
      <c r="C137" s="23">
        <v>3500</v>
      </c>
      <c r="D137" s="23"/>
      <c r="E137" s="23"/>
      <c r="F137" s="23"/>
    </row>
    <row r="138" spans="1:6" hidden="1" x14ac:dyDescent="0.2">
      <c r="A138" s="15" t="s">
        <v>157</v>
      </c>
      <c r="B138" s="23"/>
      <c r="C138" s="23">
        <v>1400</v>
      </c>
      <c r="D138" s="23"/>
      <c r="E138" s="23"/>
      <c r="F138" s="23"/>
    </row>
    <row r="139" spans="1:6" hidden="1" x14ac:dyDescent="0.2">
      <c r="A139" s="15" t="s">
        <v>158</v>
      </c>
      <c r="B139" s="23"/>
      <c r="C139" s="23">
        <v>4400</v>
      </c>
      <c r="D139" s="23"/>
      <c r="E139" s="23"/>
      <c r="F139" s="23"/>
    </row>
    <row r="140" spans="1:6" hidden="1" x14ac:dyDescent="0.2">
      <c r="A140" s="15" t="s">
        <v>159</v>
      </c>
      <c r="B140" s="23"/>
      <c r="C140" s="23">
        <v>800</v>
      </c>
      <c r="D140" s="23"/>
      <c r="E140" s="23"/>
      <c r="F140" s="23"/>
    </row>
    <row r="141" spans="1:6" hidden="1" x14ac:dyDescent="0.2">
      <c r="A141" s="15" t="s">
        <v>160</v>
      </c>
      <c r="B141" s="23"/>
      <c r="C141" s="23">
        <v>1200</v>
      </c>
      <c r="D141" s="23"/>
      <c r="E141" s="23"/>
      <c r="F141" s="23"/>
    </row>
    <row r="142" spans="1:6" hidden="1" x14ac:dyDescent="0.2">
      <c r="A142" s="15" t="s">
        <v>189</v>
      </c>
      <c r="B142" s="23"/>
      <c r="C142" s="23">
        <v>2700</v>
      </c>
      <c r="D142" s="23"/>
      <c r="E142" s="23"/>
      <c r="F142" s="23"/>
    </row>
    <row r="143" spans="1:6" s="8" customFormat="1" hidden="1" x14ac:dyDescent="0.2">
      <c r="A143" s="15" t="s">
        <v>145</v>
      </c>
      <c r="B143" s="23"/>
      <c r="C143" s="23">
        <v>1400</v>
      </c>
      <c r="D143" s="23"/>
      <c r="E143" s="23"/>
      <c r="F143" s="23"/>
    </row>
    <row r="144" spans="1:6" s="8" customFormat="1" ht="15.75" x14ac:dyDescent="0.25">
      <c r="A144" s="31" t="s">
        <v>161</v>
      </c>
      <c r="B144" s="32">
        <f>SUM(B149:B151)</f>
        <v>14000</v>
      </c>
      <c r="C144" s="32">
        <f>SUM(C149:C151)</f>
        <v>14000</v>
      </c>
      <c r="D144" s="32">
        <f t="shared" ref="D144:E144" si="17">SUM(D149:D151)</f>
        <v>0</v>
      </c>
      <c r="E144" s="32">
        <f t="shared" si="17"/>
        <v>14000</v>
      </c>
      <c r="F144" s="32">
        <f t="shared" ref="F144" si="18">SUM(F149:F151)</f>
        <v>0</v>
      </c>
    </row>
    <row r="145" spans="1:6" hidden="1" x14ac:dyDescent="0.2">
      <c r="A145" s="15" t="s">
        <v>162</v>
      </c>
      <c r="B145" s="23"/>
      <c r="C145" s="23">
        <v>300</v>
      </c>
      <c r="D145" s="23"/>
      <c r="E145" s="23"/>
      <c r="F145" s="23"/>
    </row>
    <row r="146" spans="1:6" hidden="1" x14ac:dyDescent="0.2">
      <c r="A146" s="15" t="s">
        <v>163</v>
      </c>
      <c r="B146" s="23"/>
      <c r="C146" s="23">
        <v>2700</v>
      </c>
      <c r="D146" s="23"/>
      <c r="E146" s="23"/>
      <c r="F146" s="23"/>
    </row>
    <row r="147" spans="1:6" hidden="1" x14ac:dyDescent="0.2">
      <c r="A147" s="15" t="s">
        <v>164</v>
      </c>
      <c r="B147" s="23"/>
      <c r="C147" s="23">
        <v>20</v>
      </c>
      <c r="D147" s="23"/>
      <c r="E147" s="23"/>
      <c r="F147" s="23"/>
    </row>
    <row r="148" spans="1:6" hidden="1" x14ac:dyDescent="0.2">
      <c r="A148" s="15" t="s">
        <v>165</v>
      </c>
      <c r="B148" s="23"/>
      <c r="C148" s="23">
        <v>20</v>
      </c>
      <c r="D148" s="23"/>
      <c r="E148" s="23"/>
      <c r="F148" s="23"/>
    </row>
    <row r="149" spans="1:6" ht="25.5" x14ac:dyDescent="0.2">
      <c r="A149" s="54" t="s">
        <v>202</v>
      </c>
      <c r="B149" s="23">
        <v>6000</v>
      </c>
      <c r="C149" s="23">
        <f>SUM('Plan 2025.'!C138)</f>
        <v>6000</v>
      </c>
      <c r="D149" s="23">
        <f>SUM('Plan 2025.'!D138)</f>
        <v>0</v>
      </c>
      <c r="E149" s="23">
        <f>SUM(C149:D149)</f>
        <v>6000</v>
      </c>
      <c r="F149" s="23"/>
    </row>
    <row r="150" spans="1:6" ht="30.75" customHeight="1" x14ac:dyDescent="0.2">
      <c r="A150" s="54" t="s">
        <v>205</v>
      </c>
      <c r="B150" s="23">
        <v>6000</v>
      </c>
      <c r="C150" s="23">
        <f>SUM('Plan 2025.'!C139)</f>
        <v>6000</v>
      </c>
      <c r="D150" s="23">
        <f>SUM('Plan 2025.'!D139)</f>
        <v>0</v>
      </c>
      <c r="E150" s="23">
        <f t="shared" ref="E150:E151" si="19">SUM(C150:D150)</f>
        <v>6000</v>
      </c>
      <c r="F150" s="23"/>
    </row>
    <row r="151" spans="1:6" x14ac:dyDescent="0.2">
      <c r="A151" s="55" t="s">
        <v>197</v>
      </c>
      <c r="B151" s="23">
        <v>2000</v>
      </c>
      <c r="C151" s="23">
        <f>SUM('Plan 2025.'!C140)</f>
        <v>2000</v>
      </c>
      <c r="D151" s="23">
        <f>SUM('Plan 2025.'!D140)</f>
        <v>0</v>
      </c>
      <c r="E151" s="23">
        <f t="shared" si="19"/>
        <v>2000</v>
      </c>
      <c r="F151" s="23"/>
    </row>
    <row r="152" spans="1:6" s="8" customFormat="1" ht="15.75" x14ac:dyDescent="0.25">
      <c r="A152" s="31" t="s">
        <v>166</v>
      </c>
      <c r="B152" s="32">
        <f>SUM(B39)</f>
        <v>1535000.1</v>
      </c>
      <c r="C152" s="32">
        <f>SUM(C39)</f>
        <v>1556000.1</v>
      </c>
      <c r="D152" s="32">
        <f t="shared" ref="D152" si="20">SUM(D39)</f>
        <v>37000</v>
      </c>
      <c r="E152" s="32">
        <f>SUM(E39)</f>
        <v>1593000.1</v>
      </c>
      <c r="F152" s="32">
        <f t="shared" ref="F152" si="21">SUM(F39)</f>
        <v>132000</v>
      </c>
    </row>
    <row r="153" spans="1:6" s="8" customFormat="1" ht="15.75" x14ac:dyDescent="0.25">
      <c r="A153" s="31" t="s">
        <v>167</v>
      </c>
      <c r="B153" s="32">
        <f>SUM(B43+B76+B119+B120+B121+B144)</f>
        <v>1532200</v>
      </c>
      <c r="C153" s="32">
        <f>SUM(C43+C76+C119+C120+C121+C144)</f>
        <v>1554200</v>
      </c>
      <c r="D153" s="32">
        <f t="shared" ref="D153:E153" si="22">SUM(D43+D76+D119+D120+D121+D144)</f>
        <v>36000</v>
      </c>
      <c r="E153" s="32">
        <f t="shared" si="22"/>
        <v>1590200</v>
      </c>
      <c r="F153" s="32">
        <f t="shared" ref="F153" si="23">SUM(F43+F76+F119+F120+F121+F144)</f>
        <v>128800</v>
      </c>
    </row>
    <row r="154" spans="1:6" s="8" customFormat="1" ht="15.75" x14ac:dyDescent="0.25">
      <c r="A154" s="31" t="s">
        <v>168</v>
      </c>
      <c r="B154" s="32">
        <f>SUM(B152-B153)</f>
        <v>2800.1000000000931</v>
      </c>
      <c r="C154" s="32">
        <f>SUM(C152-C153)</f>
        <v>1800.1000000000931</v>
      </c>
      <c r="D154" s="32">
        <f t="shared" ref="D154:E154" si="24">SUM(D152-D153)</f>
        <v>1000</v>
      </c>
      <c r="E154" s="32">
        <f t="shared" si="24"/>
        <v>2800.1000000000931</v>
      </c>
      <c r="F154" s="32">
        <f t="shared" ref="F154" si="25">SUM(F152-F153)</f>
        <v>3200</v>
      </c>
    </row>
    <row r="160" spans="1:6" x14ac:dyDescent="0.2">
      <c r="A160" s="25"/>
      <c r="B160" s="25"/>
    </row>
    <row r="161" spans="1:2" x14ac:dyDescent="0.2">
      <c r="A161" s="25"/>
      <c r="B161" s="25"/>
    </row>
    <row r="162" spans="1:2" x14ac:dyDescent="0.2">
      <c r="A162" s="25"/>
      <c r="B162" s="25"/>
    </row>
  </sheetData>
  <mergeCells count="1">
    <mergeCell ref="A1:F1"/>
  </mergeCells>
  <printOptions horizontalCentered="1" verticalCentered="1"/>
  <pageMargins left="0" right="0" top="0" bottom="0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6"/>
  <sheetViews>
    <sheetView topLeftCell="A11" workbookViewId="0">
      <selection activeCell="C19" sqref="C19"/>
    </sheetView>
  </sheetViews>
  <sheetFormatPr defaultColWidth="20.28515625" defaultRowHeight="15" x14ac:dyDescent="0.2"/>
  <cols>
    <col min="1" max="1" width="48.28515625" style="16" customWidth="1"/>
    <col min="2" max="2" width="11.140625" style="16" customWidth="1"/>
    <col min="3" max="3" width="10.85546875" style="16" customWidth="1"/>
    <col min="4" max="5" width="10.140625" style="19" customWidth="1"/>
    <col min="6" max="7" width="10.85546875" style="19" customWidth="1"/>
    <col min="8" max="8" width="8.85546875" style="19" customWidth="1"/>
    <col min="9" max="9" width="12.42578125" style="19" customWidth="1"/>
    <col min="10" max="10" width="11.7109375" style="19" customWidth="1"/>
    <col min="11" max="11" width="10.140625" style="19" bestFit="1" customWidth="1"/>
    <col min="12" max="12" width="9.7109375" style="19" customWidth="1"/>
    <col min="13" max="13" width="10.140625" style="19" bestFit="1" customWidth="1"/>
    <col min="14" max="14" width="9.28515625" style="19" customWidth="1"/>
    <col min="15" max="16384" width="20.28515625" style="11"/>
  </cols>
  <sheetData>
    <row r="1" spans="1:14" s="8" customFormat="1" ht="15.75" x14ac:dyDescent="0.25">
      <c r="A1" s="87" t="s">
        <v>223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8" customFormat="1" ht="13.5" customHeight="1" x14ac:dyDescent="0.25">
      <c r="A2" s="88" t="s">
        <v>224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9" customFormat="1" ht="101.25" customHeight="1" x14ac:dyDescent="0.2">
      <c r="A3" s="30"/>
      <c r="B3" s="65" t="s">
        <v>227</v>
      </c>
      <c r="C3" s="67" t="s">
        <v>218</v>
      </c>
      <c r="D3" s="65" t="s">
        <v>228</v>
      </c>
      <c r="E3" s="65" t="s">
        <v>229</v>
      </c>
      <c r="F3" s="65" t="s">
        <v>199</v>
      </c>
      <c r="G3" s="67" t="s">
        <v>232</v>
      </c>
      <c r="H3" s="65" t="s">
        <v>230</v>
      </c>
      <c r="I3" s="65" t="s">
        <v>219</v>
      </c>
      <c r="J3" s="65" t="s">
        <v>233</v>
      </c>
      <c r="K3" s="65" t="s">
        <v>220</v>
      </c>
      <c r="L3" s="65" t="s">
        <v>221</v>
      </c>
      <c r="M3" s="65" t="s">
        <v>222</v>
      </c>
      <c r="N3" s="65" t="s">
        <v>231</v>
      </c>
    </row>
    <row r="4" spans="1:14" s="9" customFormat="1" x14ac:dyDescent="0.25">
      <c r="A4" s="39" t="s">
        <v>48</v>
      </c>
      <c r="B4" s="34"/>
      <c r="C4" s="68"/>
      <c r="D4" s="34"/>
      <c r="E4" s="34"/>
      <c r="F4" s="34"/>
      <c r="G4" s="68"/>
      <c r="H4" s="34"/>
      <c r="I4" s="34"/>
      <c r="J4" s="34"/>
      <c r="K4" s="34"/>
      <c r="L4" s="34"/>
      <c r="M4" s="34"/>
      <c r="N4" s="34"/>
    </row>
    <row r="5" spans="1:14" ht="28.5" x14ac:dyDescent="0.2">
      <c r="A5" s="40" t="s">
        <v>49</v>
      </c>
      <c r="B5" s="37">
        <v>50000</v>
      </c>
      <c r="C5" s="69">
        <v>50243.37</v>
      </c>
      <c r="D5" s="37">
        <f>SUM('Plan 2025.'!$C5)</f>
        <v>55000</v>
      </c>
      <c r="E5" s="37">
        <v>55000</v>
      </c>
      <c r="F5" s="37">
        <f>SUM('Plan 2025.'!D5)</f>
        <v>0</v>
      </c>
      <c r="G5" s="69">
        <f>SUM(E5:F5)</f>
        <v>55000</v>
      </c>
      <c r="H5" s="37">
        <v>55000</v>
      </c>
      <c r="I5" s="41">
        <f>IF(B5=0,"-",$G5/B5-1)</f>
        <v>0.10000000000000009</v>
      </c>
      <c r="J5" s="41">
        <f>IF(C5=0,"-",$G5/C5-1)</f>
        <v>9.4671794507414475E-2</v>
      </c>
      <c r="K5" s="37">
        <f>SUM(D5)*105%</f>
        <v>57750</v>
      </c>
      <c r="L5" s="37">
        <v>57750</v>
      </c>
      <c r="M5" s="37">
        <f>SUM(D5)*110%</f>
        <v>60500.000000000007</v>
      </c>
      <c r="N5" s="37">
        <v>60500</v>
      </c>
    </row>
    <row r="6" spans="1:14" ht="14.25" x14ac:dyDescent="0.2">
      <c r="A6" s="42" t="s">
        <v>172</v>
      </c>
      <c r="B6" s="37">
        <v>5000</v>
      </c>
      <c r="C6" s="69">
        <v>19196.240000000002</v>
      </c>
      <c r="D6" s="37">
        <f>SUM('Plan 2025.'!$C6)</f>
        <v>8000</v>
      </c>
      <c r="E6" s="37">
        <v>8000</v>
      </c>
      <c r="F6" s="37">
        <f>SUM('Plan 2025.'!D6)</f>
        <v>0</v>
      </c>
      <c r="G6" s="69">
        <f t="shared" ref="G6:G32" si="0">SUM(E6:F6)</f>
        <v>8000</v>
      </c>
      <c r="H6" s="37"/>
      <c r="I6" s="41">
        <f t="shared" ref="I6:I68" si="1">IF(B6=0,"-",$G6/B6-1)</f>
        <v>0.60000000000000009</v>
      </c>
      <c r="J6" s="41">
        <f t="shared" ref="J6:J68" si="2">IF(C6=0,"-",$G6/C6-1)</f>
        <v>-0.58325172012852522</v>
      </c>
      <c r="K6" s="37">
        <f t="shared" ref="K6:K32" si="3">SUM(D6)*105%</f>
        <v>8400</v>
      </c>
      <c r="L6" s="37"/>
      <c r="M6" s="37">
        <f t="shared" ref="M6:M32" si="4">SUM(D6)*110%</f>
        <v>8800</v>
      </c>
      <c r="N6" s="37"/>
    </row>
    <row r="7" spans="1:14" ht="26.45" customHeight="1" x14ac:dyDescent="0.2">
      <c r="A7" s="40" t="s">
        <v>191</v>
      </c>
      <c r="B7" s="37">
        <v>30000</v>
      </c>
      <c r="C7" s="69">
        <v>30931.27</v>
      </c>
      <c r="D7" s="37">
        <f>SUM('Plan 2025.'!$C7)</f>
        <v>35000</v>
      </c>
      <c r="E7" s="37">
        <v>35000</v>
      </c>
      <c r="F7" s="37">
        <f>SUM('Plan 2025.'!D7)</f>
        <v>0</v>
      </c>
      <c r="G7" s="69">
        <f t="shared" si="0"/>
        <v>35000</v>
      </c>
      <c r="H7" s="37"/>
      <c r="I7" s="41">
        <f t="shared" si="1"/>
        <v>0.16666666666666674</v>
      </c>
      <c r="J7" s="41">
        <f t="shared" si="2"/>
        <v>0.13154099395207508</v>
      </c>
      <c r="K7" s="37">
        <f t="shared" si="3"/>
        <v>36750</v>
      </c>
      <c r="L7" s="37"/>
      <c r="M7" s="37">
        <f t="shared" si="4"/>
        <v>38500</v>
      </c>
      <c r="N7" s="37"/>
    </row>
    <row r="8" spans="1:14" ht="28.5" x14ac:dyDescent="0.2">
      <c r="A8" s="40" t="s">
        <v>50</v>
      </c>
      <c r="B8" s="37">
        <v>481000</v>
      </c>
      <c r="C8" s="69">
        <v>501749.32</v>
      </c>
      <c r="D8" s="37">
        <f>SUM('Plan 2025.'!$C8)</f>
        <v>500000</v>
      </c>
      <c r="E8" s="69">
        <v>500000</v>
      </c>
      <c r="F8" s="69">
        <f>SUM('Plan 2025.'!D8)</f>
        <v>50000</v>
      </c>
      <c r="G8" s="69">
        <f t="shared" si="0"/>
        <v>550000</v>
      </c>
      <c r="H8" s="37"/>
      <c r="I8" s="41">
        <f t="shared" si="1"/>
        <v>0.1434511434511434</v>
      </c>
      <c r="J8" s="41">
        <f t="shared" si="2"/>
        <v>9.6164913586728851E-2</v>
      </c>
      <c r="K8" s="37">
        <f t="shared" si="3"/>
        <v>525000</v>
      </c>
      <c r="L8" s="37"/>
      <c r="M8" s="37">
        <f t="shared" si="4"/>
        <v>550000</v>
      </c>
      <c r="N8" s="37"/>
    </row>
    <row r="9" spans="1:14" ht="14.25" hidden="1" x14ac:dyDescent="0.2">
      <c r="A9" s="42" t="s">
        <v>51</v>
      </c>
      <c r="B9" s="37">
        <v>0</v>
      </c>
      <c r="C9" s="69">
        <v>403.36</v>
      </c>
      <c r="D9" s="37">
        <f>SUM('Plan 2025.'!$C9)</f>
        <v>0</v>
      </c>
      <c r="E9" s="69">
        <v>0</v>
      </c>
      <c r="F9" s="37">
        <f>SUM('Plan 2025.'!D9)</f>
        <v>0</v>
      </c>
      <c r="G9" s="69">
        <f t="shared" si="0"/>
        <v>0</v>
      </c>
      <c r="H9" s="37"/>
      <c r="I9" s="41" t="str">
        <f t="shared" si="1"/>
        <v>-</v>
      </c>
      <c r="J9" s="41">
        <f t="shared" si="2"/>
        <v>-1</v>
      </c>
      <c r="K9" s="37">
        <f t="shared" si="3"/>
        <v>0</v>
      </c>
      <c r="L9" s="37"/>
      <c r="M9" s="37">
        <f t="shared" si="4"/>
        <v>0</v>
      </c>
      <c r="N9" s="37"/>
    </row>
    <row r="10" spans="1:14" ht="14.25" x14ac:dyDescent="0.2">
      <c r="A10" s="42" t="s">
        <v>52</v>
      </c>
      <c r="B10" s="37">
        <v>130000</v>
      </c>
      <c r="C10" s="69">
        <v>127406.7</v>
      </c>
      <c r="D10" s="37">
        <f>SUM('Plan 2025.'!$C10)</f>
        <v>150000</v>
      </c>
      <c r="E10" s="69">
        <v>150000</v>
      </c>
      <c r="F10" s="37">
        <f>SUM('Plan 2025.'!D10)</f>
        <v>0</v>
      </c>
      <c r="G10" s="69">
        <f t="shared" si="0"/>
        <v>150000</v>
      </c>
      <c r="H10" s="37"/>
      <c r="I10" s="41">
        <f t="shared" si="1"/>
        <v>0.15384615384615374</v>
      </c>
      <c r="J10" s="41">
        <f t="shared" si="2"/>
        <v>0.17733211832658724</v>
      </c>
      <c r="K10" s="37">
        <f t="shared" si="3"/>
        <v>157500</v>
      </c>
      <c r="L10" s="37"/>
      <c r="M10" s="37">
        <f t="shared" si="4"/>
        <v>165000</v>
      </c>
      <c r="N10" s="37"/>
    </row>
    <row r="11" spans="1:14" ht="14.25" x14ac:dyDescent="0.2">
      <c r="A11" s="42" t="s">
        <v>53</v>
      </c>
      <c r="B11" s="37">
        <v>25000</v>
      </c>
      <c r="C11" s="69">
        <v>13986</v>
      </c>
      <c r="D11" s="37">
        <f>SUM('Plan 2025.'!$C11)</f>
        <v>27000</v>
      </c>
      <c r="E11" s="37">
        <v>27000</v>
      </c>
      <c r="F11" s="37">
        <f>SUM('Plan 2025.'!D11)</f>
        <v>0</v>
      </c>
      <c r="G11" s="69">
        <f t="shared" si="0"/>
        <v>27000</v>
      </c>
      <c r="H11" s="37"/>
      <c r="I11" s="41">
        <f t="shared" si="1"/>
        <v>8.0000000000000071E-2</v>
      </c>
      <c r="J11" s="41">
        <f t="shared" si="2"/>
        <v>0.93050193050193042</v>
      </c>
      <c r="K11" s="37">
        <f t="shared" si="3"/>
        <v>28350</v>
      </c>
      <c r="L11" s="37"/>
      <c r="M11" s="37">
        <f t="shared" si="4"/>
        <v>29700.000000000004</v>
      </c>
      <c r="N11" s="37"/>
    </row>
    <row r="12" spans="1:14" ht="28.5" x14ac:dyDescent="0.2">
      <c r="A12" s="40" t="s">
        <v>54</v>
      </c>
      <c r="B12" s="37">
        <v>6000</v>
      </c>
      <c r="C12" s="69"/>
      <c r="D12" s="37">
        <f>SUM('Plan 2025.'!$C12)</f>
        <v>6000</v>
      </c>
      <c r="E12" s="37">
        <v>6000</v>
      </c>
      <c r="F12" s="37">
        <f>SUM('Plan 2025.'!D12)</f>
        <v>0</v>
      </c>
      <c r="G12" s="74">
        <f t="shared" si="0"/>
        <v>6000</v>
      </c>
      <c r="H12" s="37"/>
      <c r="I12" s="41">
        <f t="shared" si="1"/>
        <v>0</v>
      </c>
      <c r="J12" s="41" t="str">
        <f t="shared" si="2"/>
        <v>-</v>
      </c>
      <c r="K12" s="37">
        <f t="shared" si="3"/>
        <v>6300</v>
      </c>
      <c r="L12" s="37"/>
      <c r="M12" s="37">
        <f t="shared" si="4"/>
        <v>6600.0000000000009</v>
      </c>
      <c r="N12" s="37"/>
    </row>
    <row r="13" spans="1:14" ht="14.25" x14ac:dyDescent="0.2">
      <c r="A13" s="40" t="s">
        <v>55</v>
      </c>
      <c r="B13" s="37">
        <v>23000</v>
      </c>
      <c r="C13" s="69">
        <v>23036.62</v>
      </c>
      <c r="D13" s="37">
        <f>SUM('Plan 2025.'!$C13)</f>
        <v>25000</v>
      </c>
      <c r="E13" s="37">
        <v>25000</v>
      </c>
      <c r="F13" s="37">
        <f>SUM('Plan 2025.'!D13)</f>
        <v>0</v>
      </c>
      <c r="G13" s="69">
        <f t="shared" si="0"/>
        <v>25000</v>
      </c>
      <c r="H13" s="37"/>
      <c r="I13" s="41">
        <f t="shared" si="1"/>
        <v>8.6956521739130377E-2</v>
      </c>
      <c r="J13" s="41">
        <f t="shared" si="2"/>
        <v>8.5228648994513989E-2</v>
      </c>
      <c r="K13" s="37">
        <f t="shared" si="3"/>
        <v>26250</v>
      </c>
      <c r="L13" s="37"/>
      <c r="M13" s="37">
        <f t="shared" si="4"/>
        <v>27500.000000000004</v>
      </c>
      <c r="N13" s="37"/>
    </row>
    <row r="14" spans="1:14" ht="28.5" x14ac:dyDescent="0.2">
      <c r="A14" s="40" t="s">
        <v>56</v>
      </c>
      <c r="B14" s="37">
        <v>0</v>
      </c>
      <c r="C14" s="69"/>
      <c r="D14" s="37">
        <f>SUM('Plan 2025.'!$C14)</f>
        <v>10000</v>
      </c>
      <c r="E14" s="37">
        <v>10000</v>
      </c>
      <c r="F14" s="37">
        <f>SUM('Plan 2025.'!D14)</f>
        <v>0</v>
      </c>
      <c r="G14" s="69">
        <f t="shared" si="0"/>
        <v>10000</v>
      </c>
      <c r="H14" s="37"/>
      <c r="I14" s="41" t="str">
        <f t="shared" si="1"/>
        <v>-</v>
      </c>
      <c r="J14" s="41" t="str">
        <f t="shared" si="2"/>
        <v>-</v>
      </c>
      <c r="K14" s="37">
        <f t="shared" si="3"/>
        <v>10500</v>
      </c>
      <c r="L14" s="37"/>
      <c r="M14" s="37">
        <f t="shared" si="4"/>
        <v>11000</v>
      </c>
      <c r="N14" s="37"/>
    </row>
    <row r="15" spans="1:14" ht="28.5" x14ac:dyDescent="0.2">
      <c r="A15" s="40" t="s">
        <v>57</v>
      </c>
      <c r="B15" s="37">
        <v>0</v>
      </c>
      <c r="C15" s="69"/>
      <c r="D15" s="37">
        <f>SUM('Plan 2025.'!$C15)</f>
        <v>10000</v>
      </c>
      <c r="E15" s="37">
        <v>10000</v>
      </c>
      <c r="F15" s="37">
        <f>SUM('Plan 2025.'!D15)</f>
        <v>0</v>
      </c>
      <c r="G15" s="69">
        <f t="shared" si="0"/>
        <v>10000</v>
      </c>
      <c r="H15" s="37"/>
      <c r="I15" s="41" t="str">
        <f t="shared" si="1"/>
        <v>-</v>
      </c>
      <c r="J15" s="41" t="str">
        <f t="shared" si="2"/>
        <v>-</v>
      </c>
      <c r="K15" s="37">
        <f t="shared" si="3"/>
        <v>10500</v>
      </c>
      <c r="L15" s="37"/>
      <c r="M15" s="37">
        <f t="shared" si="4"/>
        <v>11000</v>
      </c>
      <c r="N15" s="37"/>
    </row>
    <row r="16" spans="1:14" ht="14.25" x14ac:dyDescent="0.2">
      <c r="A16" s="42" t="s">
        <v>58</v>
      </c>
      <c r="B16" s="37">
        <v>135000</v>
      </c>
      <c r="C16" s="69">
        <v>50396.44</v>
      </c>
      <c r="D16" s="37">
        <v>135000</v>
      </c>
      <c r="E16" s="37">
        <v>150000</v>
      </c>
      <c r="F16" s="37">
        <f>SUM('Plan 2025.'!D16)</f>
        <v>0</v>
      </c>
      <c r="G16" s="69">
        <f t="shared" si="0"/>
        <v>150000</v>
      </c>
      <c r="H16" s="37"/>
      <c r="I16" s="41">
        <f t="shared" si="1"/>
        <v>0.11111111111111116</v>
      </c>
      <c r="J16" s="41">
        <f t="shared" si="2"/>
        <v>1.9764007140186886</v>
      </c>
      <c r="K16" s="37">
        <f t="shared" si="3"/>
        <v>141750</v>
      </c>
      <c r="L16" s="37"/>
      <c r="M16" s="37">
        <f t="shared" si="4"/>
        <v>148500</v>
      </c>
      <c r="N16" s="37"/>
    </row>
    <row r="17" spans="1:14" ht="14.25" x14ac:dyDescent="0.2">
      <c r="A17" s="42" t="s">
        <v>59</v>
      </c>
      <c r="B17" s="37">
        <v>5000</v>
      </c>
      <c r="C17" s="69"/>
      <c r="D17" s="37">
        <f>SUM('Plan 2025.'!$C17)</f>
        <v>10000</v>
      </c>
      <c r="E17" s="37">
        <v>10000</v>
      </c>
      <c r="F17" s="37">
        <f>SUM('Plan 2025.'!D17)</f>
        <v>0</v>
      </c>
      <c r="G17" s="69">
        <f t="shared" si="0"/>
        <v>10000</v>
      </c>
      <c r="H17" s="37"/>
      <c r="I17" s="41">
        <f t="shared" si="1"/>
        <v>1</v>
      </c>
      <c r="J17" s="41" t="str">
        <f t="shared" si="2"/>
        <v>-</v>
      </c>
      <c r="K17" s="37">
        <f t="shared" si="3"/>
        <v>10500</v>
      </c>
      <c r="L17" s="37"/>
      <c r="M17" s="37">
        <f t="shared" si="4"/>
        <v>11000</v>
      </c>
      <c r="N17" s="37"/>
    </row>
    <row r="18" spans="1:14" ht="28.5" x14ac:dyDescent="0.2">
      <c r="A18" s="40" t="s">
        <v>60</v>
      </c>
      <c r="B18" s="37">
        <v>30000</v>
      </c>
      <c r="C18" s="69">
        <v>30173.14</v>
      </c>
      <c r="D18" s="37">
        <f>SUM('Plan 2025.'!$C18)</f>
        <v>34000</v>
      </c>
      <c r="E18" s="37">
        <v>34000</v>
      </c>
      <c r="F18" s="37">
        <f>SUM('Plan 2025.'!D18)</f>
        <v>0</v>
      </c>
      <c r="G18" s="69">
        <f t="shared" si="0"/>
        <v>34000</v>
      </c>
      <c r="H18" s="37"/>
      <c r="I18" s="41">
        <f t="shared" si="1"/>
        <v>0.1333333333333333</v>
      </c>
      <c r="J18" s="41">
        <f t="shared" si="2"/>
        <v>0.1268300216682785</v>
      </c>
      <c r="K18" s="37">
        <f t="shared" si="3"/>
        <v>35700</v>
      </c>
      <c r="L18" s="37"/>
      <c r="M18" s="37">
        <f t="shared" si="4"/>
        <v>37400</v>
      </c>
      <c r="N18" s="37"/>
    </row>
    <row r="19" spans="1:14" ht="28.5" x14ac:dyDescent="0.2">
      <c r="A19" s="40" t="s">
        <v>61</v>
      </c>
      <c r="B19" s="37">
        <v>28000</v>
      </c>
      <c r="C19" s="74">
        <v>8150.25</v>
      </c>
      <c r="D19" s="37">
        <f>SUM('Plan 2025.'!$C19)</f>
        <v>18000</v>
      </c>
      <c r="E19" s="37">
        <v>18000</v>
      </c>
      <c r="F19" s="37">
        <f>SUM('Plan 2025.'!D19)</f>
        <v>0</v>
      </c>
      <c r="G19" s="74">
        <f t="shared" si="0"/>
        <v>18000</v>
      </c>
      <c r="H19" s="37"/>
      <c r="I19" s="41">
        <f t="shared" si="1"/>
        <v>-0.3571428571428571</v>
      </c>
      <c r="J19" s="41">
        <f t="shared" si="2"/>
        <v>1.2085212110057975</v>
      </c>
      <c r="K19" s="37">
        <f t="shared" si="3"/>
        <v>18900</v>
      </c>
      <c r="L19" s="37"/>
      <c r="M19" s="37">
        <f t="shared" si="4"/>
        <v>19800</v>
      </c>
      <c r="N19" s="37"/>
    </row>
    <row r="20" spans="1:14" ht="14.25" hidden="1" x14ac:dyDescent="0.2">
      <c r="A20" s="42" t="s">
        <v>62</v>
      </c>
      <c r="B20" s="37">
        <v>0</v>
      </c>
      <c r="C20" s="69"/>
      <c r="D20" s="37">
        <v>0</v>
      </c>
      <c r="E20" s="37">
        <v>0</v>
      </c>
      <c r="F20" s="37">
        <f>SUM('Plan 2025.'!D20)</f>
        <v>0</v>
      </c>
      <c r="G20" s="69">
        <f t="shared" si="0"/>
        <v>0</v>
      </c>
      <c r="H20" s="37"/>
      <c r="I20" s="41" t="str">
        <f t="shared" si="1"/>
        <v>-</v>
      </c>
      <c r="J20" s="41" t="str">
        <f t="shared" si="2"/>
        <v>-</v>
      </c>
      <c r="K20" s="37">
        <f t="shared" si="3"/>
        <v>0</v>
      </c>
      <c r="L20" s="37"/>
      <c r="M20" s="37">
        <f t="shared" si="4"/>
        <v>0</v>
      </c>
      <c r="N20" s="37"/>
    </row>
    <row r="21" spans="1:14" ht="14.25" x14ac:dyDescent="0.2">
      <c r="A21" s="43" t="s">
        <v>173</v>
      </c>
      <c r="B21" s="37">
        <v>6000</v>
      </c>
      <c r="C21" s="69">
        <v>5780</v>
      </c>
      <c r="D21" s="37">
        <f>SUM('Plan 2025.'!$C21)</f>
        <v>10000</v>
      </c>
      <c r="E21" s="37">
        <v>10000</v>
      </c>
      <c r="F21" s="37">
        <f>SUM('Plan 2025.'!D21)</f>
        <v>0</v>
      </c>
      <c r="G21" s="69">
        <f t="shared" si="0"/>
        <v>10000</v>
      </c>
      <c r="H21" s="37"/>
      <c r="I21" s="41">
        <f t="shared" si="1"/>
        <v>0.66666666666666674</v>
      </c>
      <c r="J21" s="41">
        <f t="shared" si="2"/>
        <v>0.73010380622837379</v>
      </c>
      <c r="K21" s="37">
        <f t="shared" si="3"/>
        <v>10500</v>
      </c>
      <c r="L21" s="37"/>
      <c r="M21" s="37">
        <f t="shared" si="4"/>
        <v>11000</v>
      </c>
      <c r="N21" s="37"/>
    </row>
    <row r="22" spans="1:14" ht="28.5" x14ac:dyDescent="0.2">
      <c r="A22" s="40" t="s">
        <v>192</v>
      </c>
      <c r="B22" s="37">
        <v>50000</v>
      </c>
      <c r="C22" s="69">
        <v>50377.23</v>
      </c>
      <c r="D22" s="69">
        <v>78000</v>
      </c>
      <c r="E22" s="69">
        <v>78000</v>
      </c>
      <c r="F22" s="37">
        <f>SUM('Plan 2025.'!D22)</f>
        <v>0</v>
      </c>
      <c r="G22" s="69">
        <f t="shared" si="0"/>
        <v>78000</v>
      </c>
      <c r="H22" s="37"/>
      <c r="I22" s="41">
        <f t="shared" si="1"/>
        <v>0.56000000000000005</v>
      </c>
      <c r="J22" s="41">
        <f t="shared" si="2"/>
        <v>0.54831855582373223</v>
      </c>
      <c r="K22" s="37">
        <f t="shared" si="3"/>
        <v>81900</v>
      </c>
      <c r="L22" s="37"/>
      <c r="M22" s="37">
        <f t="shared" si="4"/>
        <v>85800</v>
      </c>
      <c r="N22" s="37"/>
    </row>
    <row r="23" spans="1:14" ht="14.25" x14ac:dyDescent="0.2">
      <c r="A23" s="42" t="s">
        <v>63</v>
      </c>
      <c r="B23" s="37">
        <v>90000</v>
      </c>
      <c r="C23" s="69">
        <v>89678.41</v>
      </c>
      <c r="D23" s="37">
        <f>SUM('Plan 2025.'!$C23)</f>
        <v>90000</v>
      </c>
      <c r="E23" s="37">
        <v>90000</v>
      </c>
      <c r="F23" s="37">
        <f>SUM('Plan 2025.'!D23)</f>
        <v>0</v>
      </c>
      <c r="G23" s="69">
        <f t="shared" si="0"/>
        <v>90000</v>
      </c>
      <c r="H23" s="37"/>
      <c r="I23" s="41">
        <f t="shared" si="1"/>
        <v>0</v>
      </c>
      <c r="J23" s="41">
        <f t="shared" si="2"/>
        <v>3.5860359254809016E-3</v>
      </c>
      <c r="K23" s="37">
        <f t="shared" si="3"/>
        <v>94500</v>
      </c>
      <c r="L23" s="37"/>
      <c r="M23" s="37">
        <f t="shared" si="4"/>
        <v>99000.000000000015</v>
      </c>
      <c r="N23" s="37"/>
    </row>
    <row r="24" spans="1:14" ht="14.25" hidden="1" x14ac:dyDescent="0.2">
      <c r="A24" s="42" t="s">
        <v>64</v>
      </c>
      <c r="B24" s="37">
        <v>0</v>
      </c>
      <c r="C24" s="69"/>
      <c r="D24" s="37">
        <f>SUM('Plan 2025.'!$C24)</f>
        <v>0</v>
      </c>
      <c r="E24" s="37">
        <v>0</v>
      </c>
      <c r="F24" s="37">
        <f>SUM('Plan 2025.'!D24)</f>
        <v>0</v>
      </c>
      <c r="G24" s="69">
        <f t="shared" si="0"/>
        <v>0</v>
      </c>
      <c r="H24" s="37"/>
      <c r="I24" s="41" t="str">
        <f t="shared" si="1"/>
        <v>-</v>
      </c>
      <c r="J24" s="41" t="str">
        <f t="shared" si="2"/>
        <v>-</v>
      </c>
      <c r="K24" s="37">
        <f t="shared" si="3"/>
        <v>0</v>
      </c>
      <c r="L24" s="37">
        <v>1150</v>
      </c>
      <c r="M24" s="37">
        <f t="shared" si="4"/>
        <v>0</v>
      </c>
      <c r="N24" s="37">
        <v>1250</v>
      </c>
    </row>
    <row r="25" spans="1:14" ht="14.25" x14ac:dyDescent="0.2">
      <c r="A25" s="42" t="s">
        <v>65</v>
      </c>
      <c r="B25" s="37">
        <v>35000</v>
      </c>
      <c r="C25" s="69">
        <v>37555.620000000003</v>
      </c>
      <c r="D25" s="37">
        <f>SUM('Plan 2025.'!$C25)</f>
        <v>40000</v>
      </c>
      <c r="E25" s="37">
        <v>40000</v>
      </c>
      <c r="F25" s="37">
        <f>SUM('Plan 2025.'!D25)</f>
        <v>0</v>
      </c>
      <c r="G25" s="69">
        <f t="shared" si="0"/>
        <v>40000</v>
      </c>
      <c r="H25" s="37"/>
      <c r="I25" s="41">
        <f t="shared" si="1"/>
        <v>0.14285714285714279</v>
      </c>
      <c r="J25" s="41">
        <f t="shared" si="2"/>
        <v>6.508692973248742E-2</v>
      </c>
      <c r="K25" s="37">
        <f t="shared" si="3"/>
        <v>42000</v>
      </c>
      <c r="L25" s="37"/>
      <c r="M25" s="37">
        <f t="shared" si="4"/>
        <v>44000</v>
      </c>
      <c r="N25" s="37"/>
    </row>
    <row r="26" spans="1:14" ht="14.25" x14ac:dyDescent="0.2">
      <c r="A26" s="42" t="s">
        <v>66</v>
      </c>
      <c r="B26" s="37">
        <v>1000</v>
      </c>
      <c r="C26" s="69">
        <v>1425.63</v>
      </c>
      <c r="D26" s="37">
        <f>SUM('Plan 2025.'!$C26)</f>
        <v>2000</v>
      </c>
      <c r="E26" s="37">
        <v>2000</v>
      </c>
      <c r="F26" s="37">
        <f>SUM('Plan 2025.'!D26)</f>
        <v>0</v>
      </c>
      <c r="G26" s="69">
        <f t="shared" si="0"/>
        <v>2000</v>
      </c>
      <c r="H26" s="37">
        <v>2000</v>
      </c>
      <c r="I26" s="41">
        <f t="shared" si="1"/>
        <v>1</v>
      </c>
      <c r="J26" s="41">
        <f t="shared" si="2"/>
        <v>0.40288854751934222</v>
      </c>
      <c r="K26" s="37">
        <f t="shared" si="3"/>
        <v>2100</v>
      </c>
      <c r="L26" s="37">
        <v>2100</v>
      </c>
      <c r="M26" s="37">
        <f t="shared" si="4"/>
        <v>2200</v>
      </c>
      <c r="N26" s="37"/>
    </row>
    <row r="27" spans="1:14" ht="28.5" x14ac:dyDescent="0.2">
      <c r="A27" s="40" t="s">
        <v>67</v>
      </c>
      <c r="B27" s="37">
        <v>25000</v>
      </c>
      <c r="C27" s="69">
        <v>22985.95</v>
      </c>
      <c r="D27" s="37">
        <f>SUM('Plan 2025.'!$C27)</f>
        <v>28000</v>
      </c>
      <c r="E27" s="37">
        <v>28000</v>
      </c>
      <c r="F27" s="37">
        <f>SUM('Plan 2025.'!D27)</f>
        <v>0</v>
      </c>
      <c r="G27" s="74">
        <f t="shared" si="0"/>
        <v>28000</v>
      </c>
      <c r="H27" s="37"/>
      <c r="I27" s="41">
        <f t="shared" si="1"/>
        <v>0.12000000000000011</v>
      </c>
      <c r="J27" s="41">
        <f t="shared" si="2"/>
        <v>0.21813542620600845</v>
      </c>
      <c r="K27" s="37">
        <f t="shared" si="3"/>
        <v>29400</v>
      </c>
      <c r="L27" s="37"/>
      <c r="M27" s="37">
        <f t="shared" si="4"/>
        <v>30800.000000000004</v>
      </c>
      <c r="N27" s="37"/>
    </row>
    <row r="28" spans="1:14" ht="28.5" x14ac:dyDescent="0.2">
      <c r="A28" s="40" t="s">
        <v>68</v>
      </c>
      <c r="B28" s="37">
        <v>28000</v>
      </c>
      <c r="C28" s="69">
        <v>28811.48</v>
      </c>
      <c r="D28" s="37">
        <f>SUM('Plan 2025.'!$C28)</f>
        <v>32000</v>
      </c>
      <c r="E28" s="37">
        <v>32000</v>
      </c>
      <c r="F28" s="37">
        <f>SUM('Plan 2025.'!D28)</f>
        <v>0</v>
      </c>
      <c r="G28" s="69">
        <f t="shared" si="0"/>
        <v>32000</v>
      </c>
      <c r="H28" s="37"/>
      <c r="I28" s="41">
        <f t="shared" si="1"/>
        <v>0.14285714285714279</v>
      </c>
      <c r="J28" s="41">
        <f t="shared" si="2"/>
        <v>0.11066838635155163</v>
      </c>
      <c r="K28" s="37">
        <f t="shared" si="3"/>
        <v>33600</v>
      </c>
      <c r="L28" s="37"/>
      <c r="M28" s="37">
        <f t="shared" si="4"/>
        <v>35200</v>
      </c>
      <c r="N28" s="37"/>
    </row>
    <row r="29" spans="1:14" ht="14.25" x14ac:dyDescent="0.2">
      <c r="A29" s="42" t="s">
        <v>69</v>
      </c>
      <c r="B29" s="69">
        <v>90000</v>
      </c>
      <c r="C29" s="69">
        <f>SUM(100784.75+11983.44)</f>
        <v>112768.19</v>
      </c>
      <c r="D29" s="69">
        <f>SUM('Plan 2025.'!$C29)</f>
        <v>105000</v>
      </c>
      <c r="E29" s="69">
        <v>105000</v>
      </c>
      <c r="F29" s="69">
        <f>SUM('Plan 2025.'!D29)</f>
        <v>7000</v>
      </c>
      <c r="G29" s="69">
        <f t="shared" si="0"/>
        <v>112000</v>
      </c>
      <c r="H29" s="37">
        <v>25000</v>
      </c>
      <c r="I29" s="41">
        <f t="shared" si="1"/>
        <v>0.24444444444444446</v>
      </c>
      <c r="J29" s="41">
        <f t="shared" si="2"/>
        <v>-6.8121160763510158E-3</v>
      </c>
      <c r="K29" s="37">
        <f t="shared" si="3"/>
        <v>110250</v>
      </c>
      <c r="L29" s="37">
        <v>28000</v>
      </c>
      <c r="M29" s="37">
        <f t="shared" si="4"/>
        <v>115500.00000000001</v>
      </c>
      <c r="N29" s="37">
        <v>29000</v>
      </c>
    </row>
    <row r="30" spans="1:14" ht="14.25" x14ac:dyDescent="0.2">
      <c r="A30" s="42" t="s">
        <v>70</v>
      </c>
      <c r="B30" s="37">
        <v>46000</v>
      </c>
      <c r="C30" s="69">
        <v>44509.22</v>
      </c>
      <c r="D30" s="37">
        <f>SUM('Plan 2025.'!$C30)</f>
        <v>50000</v>
      </c>
      <c r="E30" s="37">
        <v>50000</v>
      </c>
      <c r="F30" s="37">
        <f>SUM('Plan 2025.'!D30)</f>
        <v>0</v>
      </c>
      <c r="G30" s="69">
        <f t="shared" si="0"/>
        <v>50000</v>
      </c>
      <c r="H30" s="37">
        <v>50000</v>
      </c>
      <c r="I30" s="41">
        <f t="shared" si="1"/>
        <v>8.6956521739130377E-2</v>
      </c>
      <c r="J30" s="41">
        <f t="shared" si="2"/>
        <v>0.12336275495279403</v>
      </c>
      <c r="K30" s="37">
        <f t="shared" si="3"/>
        <v>52500</v>
      </c>
      <c r="L30" s="37">
        <v>52500</v>
      </c>
      <c r="M30" s="37">
        <f t="shared" si="4"/>
        <v>55000.000000000007</v>
      </c>
      <c r="N30" s="37">
        <v>57500</v>
      </c>
    </row>
    <row r="31" spans="1:14" ht="14.25" hidden="1" x14ac:dyDescent="0.2">
      <c r="A31" s="40" t="s">
        <v>204</v>
      </c>
      <c r="B31" s="37"/>
      <c r="C31" s="69">
        <f>SUM(14644+1416+5762.38+1061.76)</f>
        <v>22884.14</v>
      </c>
      <c r="D31" s="37">
        <f>SUM('Plan 2025.'!$C31)</f>
        <v>0</v>
      </c>
      <c r="E31" s="37">
        <v>0</v>
      </c>
      <c r="F31" s="37">
        <f>SUM('Plan 2025.'!D31)</f>
        <v>0</v>
      </c>
      <c r="G31" s="69">
        <f t="shared" si="0"/>
        <v>0</v>
      </c>
      <c r="H31" s="37"/>
      <c r="I31" s="41" t="str">
        <f t="shared" si="1"/>
        <v>-</v>
      </c>
      <c r="J31" s="41">
        <f t="shared" si="2"/>
        <v>-1</v>
      </c>
      <c r="K31" s="37">
        <f t="shared" si="3"/>
        <v>0</v>
      </c>
      <c r="L31" s="37">
        <v>0</v>
      </c>
      <c r="M31" s="37">
        <f t="shared" si="4"/>
        <v>0</v>
      </c>
      <c r="N31" s="37">
        <v>0</v>
      </c>
    </row>
    <row r="32" spans="1:14" ht="28.5" x14ac:dyDescent="0.2">
      <c r="A32" s="40" t="s">
        <v>180</v>
      </c>
      <c r="B32" s="37">
        <v>37000</v>
      </c>
      <c r="C32" s="69"/>
      <c r="D32" s="37">
        <v>61000</v>
      </c>
      <c r="E32" s="37">
        <v>67000</v>
      </c>
      <c r="F32" s="37">
        <f>SUM('Plan 2025.'!D32)</f>
        <v>-20000</v>
      </c>
      <c r="G32" s="69">
        <f t="shared" si="0"/>
        <v>47000</v>
      </c>
      <c r="H32" s="37"/>
      <c r="I32" s="41">
        <f t="shared" si="1"/>
        <v>0.27027027027027017</v>
      </c>
      <c r="J32" s="41" t="str">
        <f t="shared" si="2"/>
        <v>-</v>
      </c>
      <c r="K32" s="37">
        <f t="shared" si="3"/>
        <v>64050</v>
      </c>
      <c r="L32" s="37"/>
      <c r="M32" s="37">
        <f t="shared" si="4"/>
        <v>67100</v>
      </c>
      <c r="N32" s="37"/>
    </row>
    <row r="33" spans="1:14" s="8" customFormat="1" x14ac:dyDescent="0.25">
      <c r="A33" s="44" t="s">
        <v>71</v>
      </c>
      <c r="B33" s="45">
        <v>1356000</v>
      </c>
      <c r="C33" s="70">
        <f>SUM(C5:C32)</f>
        <v>1272448.5799999996</v>
      </c>
      <c r="D33" s="45">
        <f>SUM(D5:D32)</f>
        <v>1519000</v>
      </c>
      <c r="E33" s="45">
        <f>SUM(E5:E32)</f>
        <v>1540000</v>
      </c>
      <c r="F33" s="45">
        <f>SUM('Plan 2025.'!D33)</f>
        <v>37000</v>
      </c>
      <c r="G33" s="70">
        <f t="shared" ref="G33" si="5">SUM(G5:G32)</f>
        <v>1577000</v>
      </c>
      <c r="H33" s="45">
        <f>SUM(H5:H32)</f>
        <v>132000</v>
      </c>
      <c r="I33" s="53">
        <f t="shared" si="1"/>
        <v>0.16297935103244843</v>
      </c>
      <c r="J33" s="53">
        <f t="shared" si="2"/>
        <v>0.23934281100773469</v>
      </c>
      <c r="K33" s="45">
        <f t="shared" ref="K33:N33" si="6">SUM(K5:K32)</f>
        <v>1594950</v>
      </c>
      <c r="L33" s="45">
        <f t="shared" si="6"/>
        <v>141500</v>
      </c>
      <c r="M33" s="45">
        <f t="shared" si="6"/>
        <v>1670900</v>
      </c>
      <c r="N33" s="45">
        <f t="shared" si="6"/>
        <v>148250</v>
      </c>
    </row>
    <row r="34" spans="1:14" ht="14.25" x14ac:dyDescent="0.2">
      <c r="A34" s="42" t="s">
        <v>174</v>
      </c>
      <c r="B34" s="37">
        <v>3000</v>
      </c>
      <c r="C34" s="69">
        <v>1118.79</v>
      </c>
      <c r="D34" s="37">
        <f>SUM('Plan 2025.'!$C34)</f>
        <v>1000</v>
      </c>
      <c r="E34" s="37">
        <v>1000</v>
      </c>
      <c r="F34" s="37">
        <f>SUM('Plan 2025.'!D34)</f>
        <v>0</v>
      </c>
      <c r="G34" s="69">
        <f>SUM(E34:F34)</f>
        <v>1000</v>
      </c>
      <c r="H34" s="37"/>
      <c r="I34" s="41">
        <f t="shared" si="1"/>
        <v>-0.66666666666666674</v>
      </c>
      <c r="J34" s="41">
        <f t="shared" si="2"/>
        <v>-0.10617720930648289</v>
      </c>
      <c r="K34" s="37">
        <f>SUM(D34)*105%</f>
        <v>1050</v>
      </c>
      <c r="L34" s="37"/>
      <c r="M34" s="37">
        <f>SUM(D34)*110%</f>
        <v>1100</v>
      </c>
      <c r="N34" s="37"/>
    </row>
    <row r="35" spans="1:14" ht="14.25" x14ac:dyDescent="0.2">
      <c r="A35" s="42" t="s">
        <v>183</v>
      </c>
      <c r="B35" s="37">
        <v>3000</v>
      </c>
      <c r="C35" s="69"/>
      <c r="D35" s="37">
        <f>SUM('Plan 2025.'!$C35)</f>
        <v>1000</v>
      </c>
      <c r="E35" s="37">
        <v>1000</v>
      </c>
      <c r="F35" s="37">
        <f>SUM('Plan 2025.'!D35)</f>
        <v>0</v>
      </c>
      <c r="G35" s="69">
        <f t="shared" ref="G35:G39" si="7">SUM(E35:F35)</f>
        <v>1000</v>
      </c>
      <c r="H35" s="37"/>
      <c r="I35" s="41">
        <f t="shared" si="1"/>
        <v>-0.66666666666666674</v>
      </c>
      <c r="J35" s="41" t="str">
        <f t="shared" si="2"/>
        <v>-</v>
      </c>
      <c r="K35" s="37">
        <f t="shared" ref="K35:K39" si="8">SUM(D35)*105%</f>
        <v>1050</v>
      </c>
      <c r="L35" s="37"/>
      <c r="M35" s="37">
        <f t="shared" ref="M35:M39" si="9">SUM(D35)*110%</f>
        <v>1100</v>
      </c>
      <c r="N35" s="37"/>
    </row>
    <row r="36" spans="1:14" ht="28.5" x14ac:dyDescent="0.2">
      <c r="A36" s="40" t="s">
        <v>72</v>
      </c>
      <c r="B36" s="37">
        <v>15000</v>
      </c>
      <c r="C36" s="69">
        <v>19100.919999999998</v>
      </c>
      <c r="D36" s="37">
        <f>SUM('Plan 2025.'!$C36)</f>
        <v>10000.1</v>
      </c>
      <c r="E36" s="37">
        <v>10000</v>
      </c>
      <c r="F36" s="37">
        <f>SUM('Plan 2025.'!D36)</f>
        <v>0</v>
      </c>
      <c r="G36" s="69">
        <f t="shared" si="7"/>
        <v>10000</v>
      </c>
      <c r="H36" s="37"/>
      <c r="I36" s="41">
        <f t="shared" si="1"/>
        <v>-0.33333333333333337</v>
      </c>
      <c r="J36" s="41">
        <f t="shared" si="2"/>
        <v>-0.47646500796820257</v>
      </c>
      <c r="K36" s="37">
        <f t="shared" si="8"/>
        <v>10500.105000000001</v>
      </c>
      <c r="L36" s="37"/>
      <c r="M36" s="37">
        <f t="shared" si="9"/>
        <v>11000.11</v>
      </c>
      <c r="N36" s="37"/>
    </row>
    <row r="37" spans="1:14" ht="28.5" x14ac:dyDescent="0.2">
      <c r="A37" s="40" t="s">
        <v>73</v>
      </c>
      <c r="B37" s="37">
        <v>2000</v>
      </c>
      <c r="C37" s="69">
        <f>SUM(6231.02)</f>
        <v>6231.02</v>
      </c>
      <c r="D37" s="37">
        <f>SUM('Plan 2025.'!$C37)</f>
        <v>1000</v>
      </c>
      <c r="E37" s="37">
        <v>1000</v>
      </c>
      <c r="F37" s="37">
        <f>SUM('Plan 2025.'!D37)</f>
        <v>0</v>
      </c>
      <c r="G37" s="69">
        <f t="shared" si="7"/>
        <v>1000</v>
      </c>
      <c r="H37" s="37"/>
      <c r="I37" s="41">
        <f t="shared" si="1"/>
        <v>-0.5</v>
      </c>
      <c r="J37" s="41">
        <f t="shared" si="2"/>
        <v>-0.83951263196073844</v>
      </c>
      <c r="K37" s="37">
        <f t="shared" si="8"/>
        <v>1050</v>
      </c>
      <c r="L37" s="37"/>
      <c r="M37" s="37">
        <f t="shared" si="9"/>
        <v>1100</v>
      </c>
      <c r="N37" s="37"/>
    </row>
    <row r="38" spans="1:14" ht="14.25" x14ac:dyDescent="0.2">
      <c r="A38" s="42" t="s">
        <v>177</v>
      </c>
      <c r="B38" s="37">
        <v>2000</v>
      </c>
      <c r="C38" s="69">
        <f>SUM(665.4+27+49.97)</f>
        <v>742.37</v>
      </c>
      <c r="D38" s="37">
        <f>SUM('Plan 2025.'!$C38)</f>
        <v>1000</v>
      </c>
      <c r="E38" s="37">
        <v>1000</v>
      </c>
      <c r="F38" s="37">
        <f>SUM('Plan 2025.'!D38)</f>
        <v>0</v>
      </c>
      <c r="G38" s="69">
        <f t="shared" si="7"/>
        <v>1000</v>
      </c>
      <c r="H38" s="37"/>
      <c r="I38" s="41">
        <f t="shared" si="1"/>
        <v>-0.5</v>
      </c>
      <c r="J38" s="41">
        <f t="shared" si="2"/>
        <v>0.34703719169686265</v>
      </c>
      <c r="K38" s="37">
        <f t="shared" si="8"/>
        <v>1050</v>
      </c>
      <c r="L38" s="37"/>
      <c r="M38" s="37">
        <f t="shared" si="9"/>
        <v>1100</v>
      </c>
      <c r="N38" s="37"/>
    </row>
    <row r="39" spans="1:14" ht="14.25" x14ac:dyDescent="0.2">
      <c r="A39" s="42" t="s">
        <v>74</v>
      </c>
      <c r="B39" s="37">
        <v>4000</v>
      </c>
      <c r="C39" s="69">
        <v>7107.58</v>
      </c>
      <c r="D39" s="37">
        <f>SUM('Plan 2025.'!$C39)</f>
        <v>2000</v>
      </c>
      <c r="E39" s="37">
        <v>2000</v>
      </c>
      <c r="F39" s="37">
        <f>SUM('Plan 2025.'!D39)</f>
        <v>0</v>
      </c>
      <c r="G39" s="69">
        <f t="shared" si="7"/>
        <v>2000</v>
      </c>
      <c r="H39" s="37"/>
      <c r="I39" s="41">
        <f t="shared" si="1"/>
        <v>-0.5</v>
      </c>
      <c r="J39" s="41">
        <f t="shared" si="2"/>
        <v>-0.71861027241339526</v>
      </c>
      <c r="K39" s="37">
        <f t="shared" si="8"/>
        <v>2100</v>
      </c>
      <c r="L39" s="37"/>
      <c r="M39" s="37">
        <f t="shared" si="9"/>
        <v>2200</v>
      </c>
      <c r="N39" s="37"/>
    </row>
    <row r="40" spans="1:14" s="8" customFormat="1" x14ac:dyDescent="0.25">
      <c r="A40" s="44" t="s">
        <v>75</v>
      </c>
      <c r="B40" s="45">
        <v>1385000</v>
      </c>
      <c r="C40" s="70">
        <f>SUM(C33:C39)</f>
        <v>1306749.2599999998</v>
      </c>
      <c r="D40" s="45">
        <f>SUM(D33:D39)</f>
        <v>1535000.1</v>
      </c>
      <c r="E40" s="45">
        <f>SUM(E33:E39)</f>
        <v>1556000</v>
      </c>
      <c r="F40" s="45">
        <f t="shared" ref="F40:H40" si="10">SUM(F33:F39)</f>
        <v>37000</v>
      </c>
      <c r="G40" s="70">
        <f t="shared" si="10"/>
        <v>1593000</v>
      </c>
      <c r="H40" s="45">
        <f t="shared" si="10"/>
        <v>132000</v>
      </c>
      <c r="I40" s="53">
        <f t="shared" si="1"/>
        <v>0.15018050541516237</v>
      </c>
      <c r="J40" s="53">
        <f t="shared" si="2"/>
        <v>0.21905559755205095</v>
      </c>
      <c r="K40" s="45">
        <f t="shared" ref="K40:N40" si="11">SUM(K33:K39)</f>
        <v>1611750.105</v>
      </c>
      <c r="L40" s="45">
        <f t="shared" si="11"/>
        <v>141500</v>
      </c>
      <c r="M40" s="45">
        <f t="shared" si="11"/>
        <v>1688500.11</v>
      </c>
      <c r="N40" s="45">
        <f t="shared" si="11"/>
        <v>148250</v>
      </c>
    </row>
    <row r="41" spans="1:14" s="8" customFormat="1" ht="9" customHeight="1" x14ac:dyDescent="0.25">
      <c r="A41" s="26"/>
      <c r="B41" s="27"/>
      <c r="C41" s="71"/>
      <c r="D41" s="27"/>
      <c r="E41" s="27"/>
      <c r="F41" s="27"/>
      <c r="G41" s="71"/>
      <c r="H41" s="27"/>
      <c r="I41" s="41" t="str">
        <f t="shared" si="1"/>
        <v>-</v>
      </c>
      <c r="J41" s="41" t="str">
        <f t="shared" si="2"/>
        <v>-</v>
      </c>
      <c r="K41" s="27"/>
      <c r="L41" s="27"/>
      <c r="M41" s="27"/>
      <c r="N41" s="27"/>
    </row>
    <row r="42" spans="1:14" s="8" customFormat="1" x14ac:dyDescent="0.25">
      <c r="A42" s="39" t="s">
        <v>76</v>
      </c>
      <c r="B42" s="34"/>
      <c r="C42" s="68"/>
      <c r="D42" s="34"/>
      <c r="E42" s="34"/>
      <c r="F42" s="34"/>
      <c r="G42" s="68"/>
      <c r="H42" s="34"/>
      <c r="I42" s="34" t="str">
        <f t="shared" si="1"/>
        <v>-</v>
      </c>
      <c r="J42" s="34" t="str">
        <f t="shared" si="2"/>
        <v>-</v>
      </c>
      <c r="K42" s="34"/>
      <c r="L42" s="34"/>
      <c r="M42" s="34"/>
      <c r="N42" s="34"/>
    </row>
    <row r="43" spans="1:14" x14ac:dyDescent="0.25">
      <c r="A43" s="46" t="s">
        <v>77</v>
      </c>
      <c r="B43" s="47">
        <v>198800</v>
      </c>
      <c r="C43" s="72">
        <f t="shared" ref="C43" si="12">SUM(C44:C48)</f>
        <v>173496.31</v>
      </c>
      <c r="D43" s="56">
        <f t="shared" ref="D43:H43" si="13">SUM(D44:D48)</f>
        <v>164900</v>
      </c>
      <c r="E43" s="56">
        <f t="shared" si="13"/>
        <v>170900</v>
      </c>
      <c r="F43" s="47">
        <f t="shared" si="13"/>
        <v>0</v>
      </c>
      <c r="G43" s="72">
        <f t="shared" si="13"/>
        <v>170900</v>
      </c>
      <c r="H43" s="47">
        <f t="shared" si="13"/>
        <v>32400</v>
      </c>
      <c r="I43" s="53">
        <f t="shared" si="1"/>
        <v>-0.1403420523138833</v>
      </c>
      <c r="J43" s="53">
        <f t="shared" si="2"/>
        <v>-1.496464103472861E-2</v>
      </c>
      <c r="K43" s="47">
        <f>SUM(K44:K48)</f>
        <v>173145</v>
      </c>
      <c r="L43" s="47">
        <f t="shared" ref="L43:N43" si="14">SUM(L44:L48)</f>
        <v>34020</v>
      </c>
      <c r="M43" s="47">
        <f t="shared" si="14"/>
        <v>181390.00000000003</v>
      </c>
      <c r="N43" s="47">
        <f t="shared" si="14"/>
        <v>35640</v>
      </c>
    </row>
    <row r="44" spans="1:14" ht="14.25" x14ac:dyDescent="0.2">
      <c r="A44" s="48" t="s">
        <v>78</v>
      </c>
      <c r="B44" s="49">
        <v>111300</v>
      </c>
      <c r="C44" s="72">
        <v>111125.44</v>
      </c>
      <c r="D44" s="49">
        <f>SUM('Plan 2025.'!C45)</f>
        <v>104500</v>
      </c>
      <c r="E44" s="49">
        <v>104500</v>
      </c>
      <c r="F44" s="49">
        <v>0</v>
      </c>
      <c r="G44" s="72">
        <f>SUM(E44:F44)</f>
        <v>104500</v>
      </c>
      <c r="H44" s="49">
        <v>28000</v>
      </c>
      <c r="I44" s="41">
        <f t="shared" si="1"/>
        <v>-6.1096136567834636E-2</v>
      </c>
      <c r="J44" s="41">
        <f t="shared" si="2"/>
        <v>-5.9621271240860807E-2</v>
      </c>
      <c r="K44" s="49">
        <f>SUM(D44)*105%</f>
        <v>109725</v>
      </c>
      <c r="L44" s="49">
        <f>SUM(H44*105%)</f>
        <v>29400</v>
      </c>
      <c r="M44" s="49">
        <f>SUM(D44)*110%</f>
        <v>114950.00000000001</v>
      </c>
      <c r="N44" s="49">
        <f>SUM(H44)*110%</f>
        <v>30800.000000000004</v>
      </c>
    </row>
    <row r="45" spans="1:14" ht="14.25" x14ac:dyDescent="0.2">
      <c r="A45" s="48" t="s">
        <v>90</v>
      </c>
      <c r="B45" s="49">
        <v>48000</v>
      </c>
      <c r="C45" s="72">
        <v>36389.94</v>
      </c>
      <c r="D45" s="49">
        <v>41000</v>
      </c>
      <c r="E45" s="49">
        <v>47000</v>
      </c>
      <c r="F45" s="49">
        <v>0</v>
      </c>
      <c r="G45" s="72">
        <f t="shared" ref="G45:G48" si="15">SUM(E45:F45)</f>
        <v>47000</v>
      </c>
      <c r="H45" s="49">
        <v>4000</v>
      </c>
      <c r="I45" s="41">
        <f t="shared" si="1"/>
        <v>-2.083333333333337E-2</v>
      </c>
      <c r="J45" s="41">
        <f t="shared" si="2"/>
        <v>0.29156574591769036</v>
      </c>
      <c r="K45" s="49">
        <f t="shared" ref="K45:K48" si="16">SUM(D45)*105%</f>
        <v>43050</v>
      </c>
      <c r="L45" s="49">
        <f t="shared" ref="L45:L48" si="17">SUM(H45*105%)</f>
        <v>4200</v>
      </c>
      <c r="M45" s="49">
        <f t="shared" ref="M45:M48" si="18">SUM(D45)*110%</f>
        <v>45100.000000000007</v>
      </c>
      <c r="N45" s="49">
        <f t="shared" ref="N45:N48" si="19">SUM(H45)*110%</f>
        <v>4400</v>
      </c>
    </row>
    <row r="46" spans="1:14" ht="14.25" x14ac:dyDescent="0.2">
      <c r="A46" s="48" t="s">
        <v>95</v>
      </c>
      <c r="B46" s="49">
        <v>4000</v>
      </c>
      <c r="C46" s="72">
        <v>4191.78</v>
      </c>
      <c r="D46" s="49">
        <f>SUM('Plan 2025.'!C67)</f>
        <v>4000</v>
      </c>
      <c r="E46" s="49">
        <v>4000</v>
      </c>
      <c r="F46" s="49">
        <v>0</v>
      </c>
      <c r="G46" s="72">
        <f t="shared" si="15"/>
        <v>4000</v>
      </c>
      <c r="H46" s="49">
        <v>400</v>
      </c>
      <c r="I46" s="41">
        <f t="shared" si="1"/>
        <v>0</v>
      </c>
      <c r="J46" s="41">
        <f t="shared" si="2"/>
        <v>-4.5751446879368607E-2</v>
      </c>
      <c r="K46" s="49">
        <f t="shared" si="16"/>
        <v>4200</v>
      </c>
      <c r="L46" s="49">
        <f t="shared" si="17"/>
        <v>420</v>
      </c>
      <c r="M46" s="49">
        <f t="shared" si="18"/>
        <v>4400</v>
      </c>
      <c r="N46" s="49">
        <f t="shared" si="19"/>
        <v>440.00000000000006</v>
      </c>
    </row>
    <row r="47" spans="1:14" ht="14.25" x14ac:dyDescent="0.2">
      <c r="A47" s="48" t="s">
        <v>96</v>
      </c>
      <c r="B47" s="49">
        <v>33500</v>
      </c>
      <c r="C47" s="72">
        <v>21537.15</v>
      </c>
      <c r="D47" s="49">
        <f>SUM('Plan 2025.'!C68)</f>
        <v>15000</v>
      </c>
      <c r="E47" s="49">
        <v>15000</v>
      </c>
      <c r="F47" s="49">
        <v>0</v>
      </c>
      <c r="G47" s="72">
        <f t="shared" si="15"/>
        <v>15000</v>
      </c>
      <c r="H47" s="49"/>
      <c r="I47" s="41">
        <f t="shared" si="1"/>
        <v>-0.55223880597014929</v>
      </c>
      <c r="J47" s="41">
        <f t="shared" si="2"/>
        <v>-0.30352901846344582</v>
      </c>
      <c r="K47" s="49">
        <f t="shared" si="16"/>
        <v>15750</v>
      </c>
      <c r="L47" s="49">
        <f t="shared" si="17"/>
        <v>0</v>
      </c>
      <c r="M47" s="49">
        <f t="shared" si="18"/>
        <v>16500</v>
      </c>
      <c r="N47" s="49">
        <f t="shared" si="19"/>
        <v>0</v>
      </c>
    </row>
    <row r="48" spans="1:14" ht="14.25" x14ac:dyDescent="0.2">
      <c r="A48" s="48" t="s">
        <v>100</v>
      </c>
      <c r="B48" s="49">
        <v>2000</v>
      </c>
      <c r="C48" s="72">
        <v>252</v>
      </c>
      <c r="D48" s="49">
        <f>SUM('Plan 2025.'!C74)</f>
        <v>400</v>
      </c>
      <c r="E48" s="49">
        <v>400</v>
      </c>
      <c r="F48" s="49">
        <v>0</v>
      </c>
      <c r="G48" s="72">
        <f t="shared" si="15"/>
        <v>400</v>
      </c>
      <c r="H48" s="49"/>
      <c r="I48" s="41">
        <f t="shared" si="1"/>
        <v>-0.8</v>
      </c>
      <c r="J48" s="41">
        <f t="shared" si="2"/>
        <v>0.58730158730158721</v>
      </c>
      <c r="K48" s="49">
        <f t="shared" si="16"/>
        <v>420</v>
      </c>
      <c r="L48" s="49">
        <f t="shared" si="17"/>
        <v>0</v>
      </c>
      <c r="M48" s="49">
        <f t="shared" si="18"/>
        <v>440.00000000000006</v>
      </c>
      <c r="N48" s="49">
        <f t="shared" si="19"/>
        <v>0</v>
      </c>
    </row>
    <row r="49" spans="1:14" x14ac:dyDescent="0.25">
      <c r="A49" s="46" t="s">
        <v>104</v>
      </c>
      <c r="B49" s="47">
        <v>318200</v>
      </c>
      <c r="C49" s="72">
        <f t="shared" ref="C49" si="20">SUM(C50:C55)</f>
        <v>217143.89</v>
      </c>
      <c r="D49" s="56">
        <f t="shared" ref="D49:H49" si="21">SUM(D50:D55)</f>
        <v>353500</v>
      </c>
      <c r="E49" s="56">
        <f t="shared" si="21"/>
        <v>369500</v>
      </c>
      <c r="F49" s="56">
        <f t="shared" si="21"/>
        <v>0</v>
      </c>
      <c r="G49" s="73">
        <f t="shared" si="21"/>
        <v>369500</v>
      </c>
      <c r="H49" s="47">
        <f t="shared" si="21"/>
        <v>6800</v>
      </c>
      <c r="I49" s="53">
        <f t="shared" si="1"/>
        <v>0.16121935889377759</v>
      </c>
      <c r="J49" s="53">
        <f t="shared" si="2"/>
        <v>0.70163664287307359</v>
      </c>
      <c r="K49" s="47">
        <f>SUM(K50:K55)</f>
        <v>371175</v>
      </c>
      <c r="L49" s="47">
        <f t="shared" ref="L49:N49" si="22">SUM(L50:L55)</f>
        <v>7140</v>
      </c>
      <c r="M49" s="47">
        <f t="shared" si="22"/>
        <v>388850</v>
      </c>
      <c r="N49" s="47">
        <f t="shared" si="22"/>
        <v>7480</v>
      </c>
    </row>
    <row r="50" spans="1:14" ht="14.25" x14ac:dyDescent="0.2">
      <c r="A50" s="48" t="s">
        <v>105</v>
      </c>
      <c r="B50" s="49">
        <v>10000</v>
      </c>
      <c r="C50" s="72">
        <v>11358.72</v>
      </c>
      <c r="D50" s="49">
        <f>SUM('Plan 2025.'!C78)</f>
        <v>12500</v>
      </c>
      <c r="E50" s="49">
        <v>12500</v>
      </c>
      <c r="F50" s="49">
        <v>0</v>
      </c>
      <c r="G50" s="72">
        <f>SUM(E50:F50)</f>
        <v>12500</v>
      </c>
      <c r="H50" s="49">
        <v>1200</v>
      </c>
      <c r="I50" s="41">
        <f t="shared" si="1"/>
        <v>0.25</v>
      </c>
      <c r="J50" s="41">
        <f t="shared" si="2"/>
        <v>0.10047610998422374</v>
      </c>
      <c r="K50" s="49">
        <f>SUM(D50)*105%</f>
        <v>13125</v>
      </c>
      <c r="L50" s="49">
        <f>SUM(H50)*105%</f>
        <v>1260</v>
      </c>
      <c r="M50" s="49">
        <f>SUM(D50)*110%</f>
        <v>13750.000000000002</v>
      </c>
      <c r="N50" s="49">
        <f>SUM(H50)*110%</f>
        <v>1320</v>
      </c>
    </row>
    <row r="51" spans="1:14" ht="14.25" x14ac:dyDescent="0.2">
      <c r="A51" s="50" t="s">
        <v>201</v>
      </c>
      <c r="B51" s="38">
        <v>123000</v>
      </c>
      <c r="C51" s="73">
        <v>32578.43</v>
      </c>
      <c r="D51" s="38">
        <v>130000</v>
      </c>
      <c r="E51" s="38">
        <v>140000</v>
      </c>
      <c r="F51" s="49">
        <v>0</v>
      </c>
      <c r="G51" s="72">
        <f t="shared" ref="G51:G55" si="23">SUM(E51:F51)</f>
        <v>140000</v>
      </c>
      <c r="H51" s="38"/>
      <c r="I51" s="41">
        <f t="shared" si="1"/>
        <v>0.13821138211382111</v>
      </c>
      <c r="J51" s="41">
        <f t="shared" si="2"/>
        <v>3.2973218783102807</v>
      </c>
      <c r="K51" s="49">
        <f t="shared" ref="K51:K55" si="24">SUM(D51)*105%</f>
        <v>136500</v>
      </c>
      <c r="L51" s="49">
        <f t="shared" ref="L51:L55" si="25">SUM(H51)*105%</f>
        <v>0</v>
      </c>
      <c r="M51" s="49">
        <f t="shared" ref="M51:M55" si="26">SUM(D51)*110%</f>
        <v>143000</v>
      </c>
      <c r="N51" s="49">
        <f t="shared" ref="N51:N55" si="27">SUM(H51)*110%</f>
        <v>0</v>
      </c>
    </row>
    <row r="52" spans="1:14" ht="14.25" x14ac:dyDescent="0.2">
      <c r="A52" s="48" t="s">
        <v>109</v>
      </c>
      <c r="B52" s="49">
        <v>85000</v>
      </c>
      <c r="C52" s="72">
        <f>SUM(102752.1-32578.43)</f>
        <v>70173.670000000013</v>
      </c>
      <c r="D52" s="49">
        <f>SUM(231000-130000)</f>
        <v>101000</v>
      </c>
      <c r="E52" s="49">
        <f>SUM(241000-140000)</f>
        <v>101000</v>
      </c>
      <c r="F52" s="49">
        <v>0</v>
      </c>
      <c r="G52" s="72">
        <f t="shared" si="23"/>
        <v>101000</v>
      </c>
      <c r="H52" s="49"/>
      <c r="I52" s="41">
        <f t="shared" si="1"/>
        <v>0.18823529411764706</v>
      </c>
      <c r="J52" s="41">
        <f t="shared" si="2"/>
        <v>0.43928627361231043</v>
      </c>
      <c r="K52" s="49">
        <f t="shared" si="24"/>
        <v>106050</v>
      </c>
      <c r="L52" s="49">
        <f t="shared" si="25"/>
        <v>0</v>
      </c>
      <c r="M52" s="49">
        <f t="shared" si="26"/>
        <v>111100.00000000001</v>
      </c>
      <c r="N52" s="49">
        <f t="shared" si="27"/>
        <v>0</v>
      </c>
    </row>
    <row r="53" spans="1:14" ht="14.25" x14ac:dyDescent="0.2">
      <c r="A53" s="48" t="s">
        <v>120</v>
      </c>
      <c r="B53" s="49">
        <v>45000</v>
      </c>
      <c r="C53" s="72">
        <v>48747.29</v>
      </c>
      <c r="D53" s="49">
        <f>SUM('Plan 2025.'!C93)</f>
        <v>47000</v>
      </c>
      <c r="E53" s="49">
        <v>47000</v>
      </c>
      <c r="F53" s="49">
        <v>0</v>
      </c>
      <c r="G53" s="72">
        <f t="shared" si="23"/>
        <v>47000</v>
      </c>
      <c r="H53" s="49">
        <v>4200</v>
      </c>
      <c r="I53" s="41">
        <f t="shared" si="1"/>
        <v>4.4444444444444509E-2</v>
      </c>
      <c r="J53" s="41">
        <f t="shared" si="2"/>
        <v>-3.5843838703648934E-2</v>
      </c>
      <c r="K53" s="49">
        <f t="shared" si="24"/>
        <v>49350</v>
      </c>
      <c r="L53" s="49">
        <f t="shared" si="25"/>
        <v>4410</v>
      </c>
      <c r="M53" s="49">
        <f t="shared" si="26"/>
        <v>51700.000000000007</v>
      </c>
      <c r="N53" s="49">
        <f t="shared" si="27"/>
        <v>4620</v>
      </c>
    </row>
    <row r="54" spans="1:14" ht="14.25" x14ac:dyDescent="0.2">
      <c r="A54" s="48" t="s">
        <v>125</v>
      </c>
      <c r="B54" s="49">
        <v>14200</v>
      </c>
      <c r="C54" s="72">
        <v>15355.84</v>
      </c>
      <c r="D54" s="49">
        <f>SUM('Plan 2025.'!C98)</f>
        <v>16000</v>
      </c>
      <c r="E54" s="49">
        <v>16000</v>
      </c>
      <c r="F54" s="49">
        <v>0</v>
      </c>
      <c r="G54" s="72">
        <f t="shared" si="23"/>
        <v>16000</v>
      </c>
      <c r="H54" s="49">
        <v>1400</v>
      </c>
      <c r="I54" s="41">
        <f t="shared" si="1"/>
        <v>0.12676056338028174</v>
      </c>
      <c r="J54" s="41">
        <f t="shared" si="2"/>
        <v>4.1948861149894823E-2</v>
      </c>
      <c r="K54" s="49">
        <f t="shared" si="24"/>
        <v>16800</v>
      </c>
      <c r="L54" s="49">
        <f t="shared" si="25"/>
        <v>1470</v>
      </c>
      <c r="M54" s="49">
        <f t="shared" si="26"/>
        <v>17600</v>
      </c>
      <c r="N54" s="49">
        <f t="shared" si="27"/>
        <v>1540.0000000000002</v>
      </c>
    </row>
    <row r="55" spans="1:14" ht="14.25" x14ac:dyDescent="0.2">
      <c r="A55" s="48" t="s">
        <v>129</v>
      </c>
      <c r="B55" s="49">
        <v>41000</v>
      </c>
      <c r="C55" s="72">
        <v>38929.94</v>
      </c>
      <c r="D55" s="49">
        <v>47000</v>
      </c>
      <c r="E55" s="49">
        <v>53000</v>
      </c>
      <c r="F55" s="49">
        <v>0</v>
      </c>
      <c r="G55" s="72">
        <f t="shared" si="23"/>
        <v>53000</v>
      </c>
      <c r="H55" s="49"/>
      <c r="I55" s="41">
        <f t="shared" si="1"/>
        <v>0.29268292682926833</v>
      </c>
      <c r="J55" s="41">
        <f t="shared" si="2"/>
        <v>0.36142002787571714</v>
      </c>
      <c r="K55" s="49">
        <f t="shared" si="24"/>
        <v>49350</v>
      </c>
      <c r="L55" s="49">
        <f t="shared" si="25"/>
        <v>0</v>
      </c>
      <c r="M55" s="49">
        <f t="shared" si="26"/>
        <v>51700.000000000007</v>
      </c>
      <c r="N55" s="49">
        <f t="shared" si="27"/>
        <v>0</v>
      </c>
    </row>
    <row r="56" spans="1:14" x14ac:dyDescent="0.25">
      <c r="A56" s="46" t="s">
        <v>138</v>
      </c>
      <c r="B56" s="47">
        <v>50000</v>
      </c>
      <c r="C56" s="72">
        <v>83451.55</v>
      </c>
      <c r="D56" s="56">
        <f>SUM('Plan 2025.'!C115)</f>
        <v>44000</v>
      </c>
      <c r="E56" s="56">
        <v>44000</v>
      </c>
      <c r="F56" s="47">
        <v>6000</v>
      </c>
      <c r="G56" s="72">
        <f>SUM(E56:F56)</f>
        <v>50000</v>
      </c>
      <c r="H56" s="47">
        <v>4000</v>
      </c>
      <c r="I56" s="53">
        <f t="shared" si="1"/>
        <v>0</v>
      </c>
      <c r="J56" s="53">
        <f t="shared" si="2"/>
        <v>-0.400849954254894</v>
      </c>
      <c r="K56" s="47">
        <f>SUM(D56)*105%</f>
        <v>46200</v>
      </c>
      <c r="L56" s="47">
        <f>SUM(H56)*105%</f>
        <v>4200</v>
      </c>
      <c r="M56" s="47">
        <f>SUM(D56)*110%</f>
        <v>48400.000000000007</v>
      </c>
      <c r="N56" s="47">
        <f>SUM(H56)*110%</f>
        <v>4400</v>
      </c>
    </row>
    <row r="57" spans="1:14" x14ac:dyDescent="0.25">
      <c r="A57" s="46" t="s">
        <v>139</v>
      </c>
      <c r="B57" s="47">
        <v>655000</v>
      </c>
      <c r="C57" s="72">
        <v>648082.81000000006</v>
      </c>
      <c r="D57" s="56">
        <f>SUM('Plan 2025.'!C116)</f>
        <v>800000</v>
      </c>
      <c r="E57" s="56">
        <v>800000</v>
      </c>
      <c r="F57" s="72">
        <v>30000</v>
      </c>
      <c r="G57" s="72">
        <f>SUM(E57:F57)</f>
        <v>830000</v>
      </c>
      <c r="H57" s="47">
        <v>70000</v>
      </c>
      <c r="I57" s="53">
        <f t="shared" si="1"/>
        <v>0.26717557251908386</v>
      </c>
      <c r="J57" s="53">
        <f t="shared" si="2"/>
        <v>0.28070053269889983</v>
      </c>
      <c r="K57" s="47">
        <f>SUM(D57)*105%-4000</f>
        <v>836000</v>
      </c>
      <c r="L57" s="47">
        <f>SUM(H57)*105%</f>
        <v>73500</v>
      </c>
      <c r="M57" s="47">
        <f>SUM(D57)*110%</f>
        <v>880000.00000000012</v>
      </c>
      <c r="N57" s="47">
        <f>SUM(H57)*110%-2000</f>
        <v>75000</v>
      </c>
    </row>
    <row r="58" spans="1:14" x14ac:dyDescent="0.25">
      <c r="A58" s="46" t="s">
        <v>140</v>
      </c>
      <c r="B58" s="47">
        <v>146500</v>
      </c>
      <c r="C58" s="72">
        <f t="shared" ref="C58" si="28">SUM(C59:C61)</f>
        <v>148275.32999999999</v>
      </c>
      <c r="D58" s="56">
        <f t="shared" ref="D58:H58" si="29">SUM(D59:D61)</f>
        <v>155800</v>
      </c>
      <c r="E58" s="56">
        <f t="shared" si="29"/>
        <v>155800</v>
      </c>
      <c r="F58" s="47">
        <f t="shared" si="29"/>
        <v>0</v>
      </c>
      <c r="G58" s="72">
        <f t="shared" si="29"/>
        <v>155800</v>
      </c>
      <c r="H58" s="47">
        <f t="shared" si="29"/>
        <v>15600</v>
      </c>
      <c r="I58" s="53">
        <f t="shared" si="1"/>
        <v>6.3481228668941903E-2</v>
      </c>
      <c r="J58" s="53">
        <f t="shared" si="2"/>
        <v>5.0747956521155713E-2</v>
      </c>
      <c r="K58" s="47">
        <f>SUM(K59:K61)</f>
        <v>163590</v>
      </c>
      <c r="L58" s="47">
        <f t="shared" ref="L58:N58" si="30">SUM(L59:L61)</f>
        <v>16380</v>
      </c>
      <c r="M58" s="47">
        <f t="shared" si="30"/>
        <v>171380</v>
      </c>
      <c r="N58" s="47">
        <f t="shared" si="30"/>
        <v>17160.000000000004</v>
      </c>
    </row>
    <row r="59" spans="1:14" ht="14.25" x14ac:dyDescent="0.2">
      <c r="A59" s="48" t="s">
        <v>141</v>
      </c>
      <c r="B59" s="49">
        <v>16000</v>
      </c>
      <c r="C59" s="72">
        <v>17991.21</v>
      </c>
      <c r="D59" s="49">
        <f>SUM('Plan 2025.'!C118)</f>
        <v>19200</v>
      </c>
      <c r="E59" s="49">
        <v>19200</v>
      </c>
      <c r="F59" s="49">
        <v>0</v>
      </c>
      <c r="G59" s="72">
        <f>SUM(E59:F59)</f>
        <v>19200</v>
      </c>
      <c r="H59" s="49">
        <v>1800</v>
      </c>
      <c r="I59" s="41">
        <f t="shared" si="1"/>
        <v>0.19999999999999996</v>
      </c>
      <c r="J59" s="41">
        <f t="shared" si="2"/>
        <v>6.7187810047239838E-2</v>
      </c>
      <c r="K59" s="49">
        <f>SUM(D59)*105%</f>
        <v>20160</v>
      </c>
      <c r="L59" s="49">
        <f>SUM(H59)*105%</f>
        <v>1890</v>
      </c>
      <c r="M59" s="49">
        <f>SUM(D59)*110%</f>
        <v>21120</v>
      </c>
      <c r="N59" s="49">
        <f>SUM(H59)*110%</f>
        <v>1980.0000000000002</v>
      </c>
    </row>
    <row r="60" spans="1:14" ht="14.25" x14ac:dyDescent="0.2">
      <c r="A60" s="48" t="s">
        <v>142</v>
      </c>
      <c r="B60" s="49">
        <v>20000</v>
      </c>
      <c r="C60" s="72">
        <v>20088.419999999998</v>
      </c>
      <c r="D60" s="49">
        <f>SUM('Plan 2025.'!C119)</f>
        <v>20000</v>
      </c>
      <c r="E60" s="49">
        <v>20000</v>
      </c>
      <c r="F60" s="49">
        <v>0</v>
      </c>
      <c r="G60" s="72">
        <f t="shared" ref="G60:G61" si="31">SUM(E60:F60)</f>
        <v>20000</v>
      </c>
      <c r="H60" s="49">
        <f t="shared" ref="H60" si="32">SUM(D60*0.09)</f>
        <v>1800</v>
      </c>
      <c r="I60" s="41">
        <f t="shared" si="1"/>
        <v>0</v>
      </c>
      <c r="J60" s="41">
        <f t="shared" si="2"/>
        <v>-4.4015407881753399E-3</v>
      </c>
      <c r="K60" s="49">
        <f t="shared" ref="K60:K61" si="33">SUM(D60)*105%</f>
        <v>21000</v>
      </c>
      <c r="L60" s="49">
        <f t="shared" ref="L60:L61" si="34">SUM(H60)*105%</f>
        <v>1890</v>
      </c>
      <c r="M60" s="49">
        <f t="shared" ref="M60:M61" si="35">SUM(D60)*110%</f>
        <v>22000</v>
      </c>
      <c r="N60" s="49">
        <f t="shared" ref="N60:N61" si="36">SUM(H60)*110%</f>
        <v>1980.0000000000002</v>
      </c>
    </row>
    <row r="61" spans="1:14" ht="14.25" x14ac:dyDescent="0.2">
      <c r="A61" s="48" t="s">
        <v>145</v>
      </c>
      <c r="B61" s="49">
        <v>110500</v>
      </c>
      <c r="C61" s="72">
        <v>110195.7</v>
      </c>
      <c r="D61" s="49">
        <f>SUM('Plan 2025.'!C122)</f>
        <v>116600</v>
      </c>
      <c r="E61" s="49">
        <v>116600</v>
      </c>
      <c r="F61" s="49">
        <v>0</v>
      </c>
      <c r="G61" s="72">
        <f t="shared" si="31"/>
        <v>116600</v>
      </c>
      <c r="H61" s="49">
        <v>12000</v>
      </c>
      <c r="I61" s="41">
        <f t="shared" si="1"/>
        <v>5.5203619909502288E-2</v>
      </c>
      <c r="J61" s="41">
        <f t="shared" si="2"/>
        <v>5.8117512752312583E-2</v>
      </c>
      <c r="K61" s="49">
        <f t="shared" si="33"/>
        <v>122430</v>
      </c>
      <c r="L61" s="49">
        <f t="shared" si="34"/>
        <v>12600</v>
      </c>
      <c r="M61" s="49">
        <f t="shared" si="35"/>
        <v>128260.00000000001</v>
      </c>
      <c r="N61" s="49">
        <f t="shared" si="36"/>
        <v>13200.000000000002</v>
      </c>
    </row>
    <row r="62" spans="1:14" x14ac:dyDescent="0.25">
      <c r="A62" s="46" t="s">
        <v>161</v>
      </c>
      <c r="B62" s="47">
        <v>4300</v>
      </c>
      <c r="C62" s="72">
        <f t="shared" ref="C62" si="37">SUM(C63:C65)</f>
        <v>3825.57</v>
      </c>
      <c r="D62" s="56">
        <f>SUM(D63:D65)</f>
        <v>14000</v>
      </c>
      <c r="E62" s="56">
        <f>SUM(E63:E65)</f>
        <v>14000</v>
      </c>
      <c r="F62" s="47">
        <f t="shared" ref="F62:H62" si="38">SUM(F63:F65)</f>
        <v>0</v>
      </c>
      <c r="G62" s="72">
        <f t="shared" si="38"/>
        <v>14000</v>
      </c>
      <c r="H62" s="47">
        <f t="shared" si="38"/>
        <v>0</v>
      </c>
      <c r="I62" s="53">
        <f t="shared" si="1"/>
        <v>2.2558139534883721</v>
      </c>
      <c r="J62" s="53">
        <f t="shared" si="2"/>
        <v>2.6595853689776945</v>
      </c>
      <c r="K62" s="47">
        <f t="shared" ref="K62:N62" si="39">SUM(K63:K65)</f>
        <v>15000</v>
      </c>
      <c r="L62" s="47">
        <f t="shared" si="39"/>
        <v>0</v>
      </c>
      <c r="M62" s="47">
        <f t="shared" si="39"/>
        <v>13500</v>
      </c>
      <c r="N62" s="47">
        <f t="shared" si="39"/>
        <v>0</v>
      </c>
    </row>
    <row r="63" spans="1:14" ht="43.5" customHeight="1" x14ac:dyDescent="0.2">
      <c r="A63" s="51" t="s">
        <v>202</v>
      </c>
      <c r="B63" s="38">
        <v>3300</v>
      </c>
      <c r="C63" s="73">
        <v>3234.46</v>
      </c>
      <c r="D63" s="38">
        <f>SUM('Plan 2025.'!C138)</f>
        <v>6000</v>
      </c>
      <c r="E63" s="38">
        <v>6000</v>
      </c>
      <c r="F63" s="38">
        <v>0</v>
      </c>
      <c r="G63" s="73">
        <f>SUM(E63:F63)</f>
        <v>6000</v>
      </c>
      <c r="H63" s="38"/>
      <c r="I63" s="41">
        <f t="shared" si="1"/>
        <v>0.81818181818181812</v>
      </c>
      <c r="J63" s="41">
        <f t="shared" si="2"/>
        <v>0.85502371338646954</v>
      </c>
      <c r="K63" s="38">
        <v>6000</v>
      </c>
      <c r="L63" s="38"/>
      <c r="M63" s="38">
        <v>6000</v>
      </c>
      <c r="N63" s="38"/>
    </row>
    <row r="64" spans="1:14" ht="44.25" customHeight="1" x14ac:dyDescent="0.2">
      <c r="A64" s="51" t="s">
        <v>205</v>
      </c>
      <c r="B64" s="38">
        <v>0</v>
      </c>
      <c r="C64" s="73">
        <v>0</v>
      </c>
      <c r="D64" s="38">
        <f>SUM('Plan 2025.'!C139)</f>
        <v>6000</v>
      </c>
      <c r="E64" s="38">
        <v>6000</v>
      </c>
      <c r="F64" s="38">
        <v>0</v>
      </c>
      <c r="G64" s="73">
        <f t="shared" ref="G64:G65" si="40">SUM(E64:F64)</f>
        <v>6000</v>
      </c>
      <c r="H64" s="38"/>
      <c r="I64" s="41" t="str">
        <f t="shared" si="1"/>
        <v>-</v>
      </c>
      <c r="J64" s="41" t="str">
        <f t="shared" si="2"/>
        <v>-</v>
      </c>
      <c r="K64" s="38">
        <v>6000</v>
      </c>
      <c r="L64" s="38"/>
      <c r="M64" s="38">
        <v>4500</v>
      </c>
      <c r="N64" s="38"/>
    </row>
    <row r="65" spans="1:14" ht="28.5" x14ac:dyDescent="0.2">
      <c r="A65" s="52" t="s">
        <v>197</v>
      </c>
      <c r="B65" s="38">
        <v>1000</v>
      </c>
      <c r="C65" s="73">
        <v>591.11</v>
      </c>
      <c r="D65" s="38">
        <f>SUM('Plan 2025.'!C140)</f>
        <v>2000</v>
      </c>
      <c r="E65" s="38">
        <v>2000</v>
      </c>
      <c r="F65" s="38">
        <v>0</v>
      </c>
      <c r="G65" s="73">
        <f t="shared" si="40"/>
        <v>2000</v>
      </c>
      <c r="H65" s="38"/>
      <c r="I65" s="41">
        <f t="shared" si="1"/>
        <v>1</v>
      </c>
      <c r="J65" s="41">
        <f t="shared" si="2"/>
        <v>2.3834650065131702</v>
      </c>
      <c r="K65" s="38">
        <v>3000</v>
      </c>
      <c r="L65" s="38"/>
      <c r="M65" s="38">
        <v>3000</v>
      </c>
      <c r="N65" s="38"/>
    </row>
    <row r="66" spans="1:14" x14ac:dyDescent="0.25">
      <c r="A66" s="46" t="s">
        <v>166</v>
      </c>
      <c r="B66" s="47">
        <v>1385000</v>
      </c>
      <c r="C66" s="72">
        <f t="shared" ref="C66" si="41">SUM(C40)</f>
        <v>1306749.2599999998</v>
      </c>
      <c r="D66" s="47">
        <f t="shared" ref="D66:H66" si="42">SUM(D40)</f>
        <v>1535000.1</v>
      </c>
      <c r="E66" s="47">
        <f t="shared" si="42"/>
        <v>1556000</v>
      </c>
      <c r="F66" s="47">
        <f t="shared" si="42"/>
        <v>37000</v>
      </c>
      <c r="G66" s="72">
        <f t="shared" si="42"/>
        <v>1593000</v>
      </c>
      <c r="H66" s="47">
        <f t="shared" si="42"/>
        <v>132000</v>
      </c>
      <c r="I66" s="53">
        <f t="shared" si="1"/>
        <v>0.15018050541516237</v>
      </c>
      <c r="J66" s="53">
        <f t="shared" si="2"/>
        <v>0.21905559755205095</v>
      </c>
      <c r="K66" s="47">
        <f>SUM(K40)</f>
        <v>1611750.105</v>
      </c>
      <c r="L66" s="47">
        <f>SUM(L40)</f>
        <v>141500</v>
      </c>
      <c r="M66" s="47">
        <f>SUM(M40)</f>
        <v>1688500.11</v>
      </c>
      <c r="N66" s="47">
        <f>SUM(N40)</f>
        <v>148250</v>
      </c>
    </row>
    <row r="67" spans="1:14" x14ac:dyDescent="0.25">
      <c r="A67" s="46" t="s">
        <v>167</v>
      </c>
      <c r="B67" s="47">
        <v>1372800</v>
      </c>
      <c r="C67" s="72">
        <f t="shared" ref="C67:E67" si="43">SUM(C43+C49+C56+C57+C58+C62)</f>
        <v>1274275.4600000002</v>
      </c>
      <c r="D67" s="47">
        <f t="shared" si="43"/>
        <v>1532200</v>
      </c>
      <c r="E67" s="47">
        <f t="shared" si="43"/>
        <v>1554200</v>
      </c>
      <c r="F67" s="47">
        <f t="shared" ref="F67:H67" si="44">SUM(F43+F49+F56+F57+F58+F62)</f>
        <v>36000</v>
      </c>
      <c r="G67" s="72">
        <f t="shared" si="44"/>
        <v>1590200</v>
      </c>
      <c r="H67" s="47">
        <f t="shared" si="44"/>
        <v>128800</v>
      </c>
      <c r="I67" s="53">
        <f t="shared" si="1"/>
        <v>0.15836247086247091</v>
      </c>
      <c r="J67" s="53">
        <f t="shared" si="2"/>
        <v>0.2479248403637937</v>
      </c>
      <c r="K67" s="47">
        <f>SUM(K62+K58+K57+K56+K49+K43)</f>
        <v>1605110</v>
      </c>
      <c r="L67" s="47">
        <f t="shared" ref="L67:N67" si="45">SUM(L62+L58+L57+L56+L49+L43)</f>
        <v>135240</v>
      </c>
      <c r="M67" s="47">
        <f t="shared" si="45"/>
        <v>1683520</v>
      </c>
      <c r="N67" s="47">
        <f t="shared" si="45"/>
        <v>139680</v>
      </c>
    </row>
    <row r="68" spans="1:14" x14ac:dyDescent="0.25">
      <c r="A68" s="46" t="s">
        <v>168</v>
      </c>
      <c r="B68" s="47">
        <v>12200</v>
      </c>
      <c r="C68" s="72">
        <f t="shared" ref="C68" si="46">SUM(C66-C67)</f>
        <v>32473.799999999581</v>
      </c>
      <c r="D68" s="47">
        <f t="shared" ref="D68:H68" si="47">SUM(D66-D67)</f>
        <v>2800.1000000000931</v>
      </c>
      <c r="E68" s="47">
        <f t="shared" si="47"/>
        <v>1800</v>
      </c>
      <c r="F68" s="47">
        <f t="shared" si="47"/>
        <v>1000</v>
      </c>
      <c r="G68" s="72">
        <f t="shared" si="47"/>
        <v>2800</v>
      </c>
      <c r="H68" s="47">
        <f t="shared" si="47"/>
        <v>3200</v>
      </c>
      <c r="I68" s="53">
        <f t="shared" si="1"/>
        <v>-0.77049180327868849</v>
      </c>
      <c r="J68" s="53">
        <f t="shared" si="2"/>
        <v>-0.91377664455653373</v>
      </c>
      <c r="K68" s="47">
        <f t="shared" ref="K68:N68" si="48">SUM(K66-K67)</f>
        <v>6640.1049999999814</v>
      </c>
      <c r="L68" s="47">
        <f t="shared" si="48"/>
        <v>6260</v>
      </c>
      <c r="M68" s="47">
        <f t="shared" si="48"/>
        <v>4980.1100000001024</v>
      </c>
      <c r="N68" s="47">
        <f t="shared" si="48"/>
        <v>8570</v>
      </c>
    </row>
    <row r="70" spans="1:14" x14ac:dyDescent="0.2">
      <c r="A70" s="16" t="s">
        <v>203</v>
      </c>
    </row>
    <row r="71" spans="1:14" x14ac:dyDescent="0.2">
      <c r="A71" s="16" t="s">
        <v>226</v>
      </c>
    </row>
    <row r="72" spans="1:14" x14ac:dyDescent="0.2">
      <c r="A72" s="16" t="s">
        <v>225</v>
      </c>
    </row>
    <row r="74" spans="1:14" x14ac:dyDescent="0.2">
      <c r="A74" s="66"/>
      <c r="B74" s="25"/>
      <c r="C74" s="25"/>
    </row>
    <row r="75" spans="1:14" x14ac:dyDescent="0.2">
      <c r="A75" s="66"/>
      <c r="B75" s="25"/>
      <c r="C75" s="25"/>
    </row>
    <row r="76" spans="1:14" x14ac:dyDescent="0.2">
      <c r="A76" s="25"/>
      <c r="B76" s="25"/>
      <c r="C76" s="25"/>
    </row>
  </sheetData>
  <mergeCells count="2">
    <mergeCell ref="A1:N1"/>
    <mergeCell ref="A2:N2"/>
  </mergeCells>
  <phoneticPr fontId="20" type="noConversion"/>
  <printOptions horizontalCentered="1" verticalCentered="1"/>
  <pageMargins left="0" right="0" top="0" bottom="0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CEE1-BF7A-4D46-8485-308F51B5DBC7}">
  <dimension ref="A1:N76"/>
  <sheetViews>
    <sheetView tabSelected="1" workbookViewId="0">
      <selection activeCell="E86" sqref="E86"/>
    </sheetView>
  </sheetViews>
  <sheetFormatPr defaultColWidth="20.28515625" defaultRowHeight="15" x14ac:dyDescent="0.2"/>
  <cols>
    <col min="1" max="1" width="48.28515625" style="16" customWidth="1"/>
    <col min="2" max="2" width="11.140625" style="16" customWidth="1"/>
    <col min="3" max="3" width="10.85546875" style="16" customWidth="1"/>
    <col min="4" max="5" width="10.140625" style="19" customWidth="1"/>
    <col min="6" max="7" width="10.85546875" style="19" customWidth="1"/>
    <col min="8" max="8" width="8.85546875" style="19" customWidth="1"/>
    <col min="9" max="9" width="12.42578125" style="19" customWidth="1"/>
    <col min="10" max="10" width="11.7109375" style="19" customWidth="1"/>
    <col min="11" max="11" width="10.140625" style="19" bestFit="1" customWidth="1"/>
    <col min="12" max="12" width="9.7109375" style="19" customWidth="1"/>
    <col min="13" max="13" width="10.140625" style="19" bestFit="1" customWidth="1"/>
    <col min="14" max="14" width="9.28515625" style="19" customWidth="1"/>
    <col min="15" max="16384" width="20.28515625" style="11"/>
  </cols>
  <sheetData>
    <row r="1" spans="1:14" s="8" customFormat="1" ht="15.75" x14ac:dyDescent="0.25">
      <c r="A1" s="87" t="s">
        <v>223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8" customFormat="1" ht="13.5" customHeight="1" x14ac:dyDescent="0.25">
      <c r="A2" s="88" t="s">
        <v>224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9" customFormat="1" ht="101.25" customHeight="1" x14ac:dyDescent="0.2">
      <c r="A3" s="30"/>
      <c r="B3" s="65" t="s">
        <v>227</v>
      </c>
      <c r="C3" s="65" t="s">
        <v>218</v>
      </c>
      <c r="D3" s="65" t="s">
        <v>228</v>
      </c>
      <c r="E3" s="65" t="s">
        <v>229</v>
      </c>
      <c r="F3" s="65" t="s">
        <v>199</v>
      </c>
      <c r="G3" s="65" t="s">
        <v>232</v>
      </c>
      <c r="H3" s="65" t="s">
        <v>230</v>
      </c>
      <c r="I3" s="65" t="s">
        <v>219</v>
      </c>
      <c r="J3" s="65" t="s">
        <v>233</v>
      </c>
      <c r="K3" s="65" t="s">
        <v>220</v>
      </c>
      <c r="L3" s="65" t="s">
        <v>221</v>
      </c>
      <c r="M3" s="65" t="s">
        <v>222</v>
      </c>
      <c r="N3" s="65" t="s">
        <v>231</v>
      </c>
    </row>
    <row r="4" spans="1:14" s="9" customFormat="1" x14ac:dyDescent="0.25">
      <c r="A4" s="39" t="s">
        <v>48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28.5" x14ac:dyDescent="0.2">
      <c r="A5" s="40" t="s">
        <v>49</v>
      </c>
      <c r="B5" s="37">
        <v>50000</v>
      </c>
      <c r="C5" s="75">
        <v>50243.37</v>
      </c>
      <c r="D5" s="37">
        <f>SUM('Plan 2025.'!$C5)</f>
        <v>55000</v>
      </c>
      <c r="E5" s="37">
        <v>55000</v>
      </c>
      <c r="F5" s="37">
        <f>SUM('Plan 2025.'!D5)</f>
        <v>0</v>
      </c>
      <c r="G5" s="75">
        <f>SUM(E5:F5)</f>
        <v>55000</v>
      </c>
      <c r="H5" s="37">
        <v>55000</v>
      </c>
      <c r="I5" s="41">
        <f>IF(B5=0,"-",$G5/B5-1)</f>
        <v>0.10000000000000009</v>
      </c>
      <c r="J5" s="41">
        <f>IF(C5=0,"-",$G5/C5-1)</f>
        <v>9.4671794507414475E-2</v>
      </c>
      <c r="K5" s="37">
        <f>SUM(D5)*105%</f>
        <v>57750</v>
      </c>
      <c r="L5" s="37">
        <v>57750</v>
      </c>
      <c r="M5" s="37">
        <f>SUM(D5)*110%</f>
        <v>60500.000000000007</v>
      </c>
      <c r="N5" s="37">
        <v>60500</v>
      </c>
    </row>
    <row r="6" spans="1:14" ht="14.25" x14ac:dyDescent="0.2">
      <c r="A6" s="42" t="s">
        <v>172</v>
      </c>
      <c r="B6" s="37">
        <v>5000</v>
      </c>
      <c r="C6" s="75">
        <v>19196.240000000002</v>
      </c>
      <c r="D6" s="37">
        <f>SUM('Plan 2025.'!$C6)</f>
        <v>8000</v>
      </c>
      <c r="E6" s="37">
        <v>8000</v>
      </c>
      <c r="F6" s="37">
        <f>SUM('Plan 2025.'!D6)</f>
        <v>0</v>
      </c>
      <c r="G6" s="75">
        <f t="shared" ref="G6:G32" si="0">SUM(E6:F6)</f>
        <v>8000</v>
      </c>
      <c r="H6" s="37"/>
      <c r="I6" s="41">
        <f t="shared" ref="I6:J68" si="1">IF(B6=0,"-",$G6/B6-1)</f>
        <v>0.60000000000000009</v>
      </c>
      <c r="J6" s="41">
        <f t="shared" si="1"/>
        <v>-0.58325172012852522</v>
      </c>
      <c r="K6" s="37">
        <f t="shared" ref="K6:K32" si="2">SUM(D6)*105%</f>
        <v>8400</v>
      </c>
      <c r="L6" s="37"/>
      <c r="M6" s="37">
        <f t="shared" ref="M6:M32" si="3">SUM(D6)*110%</f>
        <v>8800</v>
      </c>
      <c r="N6" s="37"/>
    </row>
    <row r="7" spans="1:14" ht="26.45" customHeight="1" x14ac:dyDescent="0.2">
      <c r="A7" s="40" t="s">
        <v>191</v>
      </c>
      <c r="B7" s="37">
        <v>30000</v>
      </c>
      <c r="C7" s="75">
        <v>30931.27</v>
      </c>
      <c r="D7" s="37">
        <f>SUM('Plan 2025.'!$C7)</f>
        <v>35000</v>
      </c>
      <c r="E7" s="37">
        <v>35000</v>
      </c>
      <c r="F7" s="37">
        <f>SUM('Plan 2025.'!D7)</f>
        <v>0</v>
      </c>
      <c r="G7" s="75">
        <f t="shared" si="0"/>
        <v>35000</v>
      </c>
      <c r="H7" s="37"/>
      <c r="I7" s="41">
        <f t="shared" si="1"/>
        <v>0.16666666666666674</v>
      </c>
      <c r="J7" s="41">
        <f t="shared" si="1"/>
        <v>0.13154099395207508</v>
      </c>
      <c r="K7" s="37">
        <f t="shared" si="2"/>
        <v>36750</v>
      </c>
      <c r="L7" s="37"/>
      <c r="M7" s="37">
        <f t="shared" si="3"/>
        <v>38500</v>
      </c>
      <c r="N7" s="37"/>
    </row>
    <row r="8" spans="1:14" ht="28.5" x14ac:dyDescent="0.2">
      <c r="A8" s="40" t="s">
        <v>50</v>
      </c>
      <c r="B8" s="37">
        <v>481000</v>
      </c>
      <c r="C8" s="75">
        <v>501749.32</v>
      </c>
      <c r="D8" s="37">
        <f>SUM('Plan 2025.'!$C8)</f>
        <v>500000</v>
      </c>
      <c r="E8" s="75">
        <v>500000</v>
      </c>
      <c r="F8" s="75">
        <f>SUM('Plan 2025.'!D8)</f>
        <v>50000</v>
      </c>
      <c r="G8" s="75">
        <f t="shared" si="0"/>
        <v>550000</v>
      </c>
      <c r="H8" s="37"/>
      <c r="I8" s="41">
        <f t="shared" si="1"/>
        <v>0.1434511434511434</v>
      </c>
      <c r="J8" s="41">
        <f t="shared" si="1"/>
        <v>9.6164913586728851E-2</v>
      </c>
      <c r="K8" s="37">
        <f t="shared" si="2"/>
        <v>525000</v>
      </c>
      <c r="L8" s="37"/>
      <c r="M8" s="37">
        <f t="shared" si="3"/>
        <v>550000</v>
      </c>
      <c r="N8" s="37"/>
    </row>
    <row r="9" spans="1:14" ht="14.25" hidden="1" x14ac:dyDescent="0.2">
      <c r="A9" s="42" t="s">
        <v>51</v>
      </c>
      <c r="B9" s="37">
        <v>0</v>
      </c>
      <c r="C9" s="75">
        <v>403.36</v>
      </c>
      <c r="D9" s="37">
        <f>SUM('Plan 2025.'!$C9)</f>
        <v>0</v>
      </c>
      <c r="E9" s="75">
        <v>0</v>
      </c>
      <c r="F9" s="75">
        <f>SUM('Plan 2025.'!D9)</f>
        <v>0</v>
      </c>
      <c r="G9" s="75">
        <f t="shared" si="0"/>
        <v>0</v>
      </c>
      <c r="H9" s="37"/>
      <c r="I9" s="41" t="str">
        <f t="shared" si="1"/>
        <v>-</v>
      </c>
      <c r="J9" s="41">
        <f t="shared" si="1"/>
        <v>-1</v>
      </c>
      <c r="K9" s="37">
        <f t="shared" si="2"/>
        <v>0</v>
      </c>
      <c r="L9" s="37"/>
      <c r="M9" s="37">
        <f t="shared" si="3"/>
        <v>0</v>
      </c>
      <c r="N9" s="37"/>
    </row>
    <row r="10" spans="1:14" ht="14.25" x14ac:dyDescent="0.2">
      <c r="A10" s="42" t="s">
        <v>52</v>
      </c>
      <c r="B10" s="37">
        <v>130000</v>
      </c>
      <c r="C10" s="75">
        <v>127406.7</v>
      </c>
      <c r="D10" s="37">
        <f>SUM('Plan 2025.'!$C10)</f>
        <v>150000</v>
      </c>
      <c r="E10" s="75">
        <v>150000</v>
      </c>
      <c r="F10" s="75">
        <f>SUM('Plan 2025.'!D10)</f>
        <v>0</v>
      </c>
      <c r="G10" s="75">
        <f t="shared" si="0"/>
        <v>150000</v>
      </c>
      <c r="H10" s="37"/>
      <c r="I10" s="41">
        <f t="shared" si="1"/>
        <v>0.15384615384615374</v>
      </c>
      <c r="J10" s="41">
        <f t="shared" si="1"/>
        <v>0.17733211832658724</v>
      </c>
      <c r="K10" s="37">
        <f t="shared" si="2"/>
        <v>157500</v>
      </c>
      <c r="L10" s="37"/>
      <c r="M10" s="37">
        <f t="shared" si="3"/>
        <v>165000</v>
      </c>
      <c r="N10" s="37"/>
    </row>
    <row r="11" spans="1:14" ht="14.25" x14ac:dyDescent="0.2">
      <c r="A11" s="42" t="s">
        <v>53</v>
      </c>
      <c r="B11" s="37">
        <v>25000</v>
      </c>
      <c r="C11" s="75">
        <v>13986</v>
      </c>
      <c r="D11" s="37">
        <f>SUM('Plan 2025.'!$C11)</f>
        <v>27000</v>
      </c>
      <c r="E11" s="37">
        <v>27000</v>
      </c>
      <c r="F11" s="37">
        <f>SUM('Plan 2025.'!D11)</f>
        <v>0</v>
      </c>
      <c r="G11" s="75">
        <f t="shared" si="0"/>
        <v>27000</v>
      </c>
      <c r="H11" s="37"/>
      <c r="I11" s="79">
        <f t="shared" si="1"/>
        <v>8.0000000000000071E-2</v>
      </c>
      <c r="J11" s="41">
        <f t="shared" si="1"/>
        <v>0.93050193050193042</v>
      </c>
      <c r="K11" s="37">
        <f t="shared" si="2"/>
        <v>28350</v>
      </c>
      <c r="L11" s="37"/>
      <c r="M11" s="37">
        <f t="shared" si="3"/>
        <v>29700.000000000004</v>
      </c>
      <c r="N11" s="37"/>
    </row>
    <row r="12" spans="1:14" ht="28.5" x14ac:dyDescent="0.2">
      <c r="A12" s="40" t="s">
        <v>54</v>
      </c>
      <c r="B12" s="37">
        <v>6000</v>
      </c>
      <c r="C12" s="75"/>
      <c r="D12" s="37">
        <f>SUM('Plan 2025.'!$C12)</f>
        <v>6000</v>
      </c>
      <c r="E12" s="37">
        <v>6000</v>
      </c>
      <c r="F12" s="37">
        <f>SUM('Plan 2025.'!D12)</f>
        <v>0</v>
      </c>
      <c r="G12" s="75">
        <f t="shared" si="0"/>
        <v>6000</v>
      </c>
      <c r="H12" s="37"/>
      <c r="I12" s="79">
        <f t="shared" si="1"/>
        <v>0</v>
      </c>
      <c r="J12" s="41" t="str">
        <f t="shared" si="1"/>
        <v>-</v>
      </c>
      <c r="K12" s="37">
        <f t="shared" si="2"/>
        <v>6300</v>
      </c>
      <c r="L12" s="37"/>
      <c r="M12" s="37">
        <f t="shared" si="3"/>
        <v>6600.0000000000009</v>
      </c>
      <c r="N12" s="37"/>
    </row>
    <row r="13" spans="1:14" ht="14.25" x14ac:dyDescent="0.2">
      <c r="A13" s="40" t="s">
        <v>55</v>
      </c>
      <c r="B13" s="37">
        <v>23000</v>
      </c>
      <c r="C13" s="75">
        <v>23036.62</v>
      </c>
      <c r="D13" s="37">
        <f>SUM('Plan 2025.'!$C13)</f>
        <v>25000</v>
      </c>
      <c r="E13" s="37">
        <v>25000</v>
      </c>
      <c r="F13" s="37">
        <f>SUM('Plan 2025.'!D13)</f>
        <v>0</v>
      </c>
      <c r="G13" s="75">
        <f t="shared" si="0"/>
        <v>25000</v>
      </c>
      <c r="H13" s="37"/>
      <c r="I13" s="79">
        <f t="shared" si="1"/>
        <v>8.6956521739130377E-2</v>
      </c>
      <c r="J13" s="41">
        <f t="shared" si="1"/>
        <v>8.5228648994513989E-2</v>
      </c>
      <c r="K13" s="37">
        <f t="shared" si="2"/>
        <v>26250</v>
      </c>
      <c r="L13" s="37"/>
      <c r="M13" s="37">
        <f t="shared" si="3"/>
        <v>27500.000000000004</v>
      </c>
      <c r="N13" s="37"/>
    </row>
    <row r="14" spans="1:14" ht="28.5" x14ac:dyDescent="0.2">
      <c r="A14" s="40" t="s">
        <v>56</v>
      </c>
      <c r="B14" s="37">
        <v>0</v>
      </c>
      <c r="C14" s="75"/>
      <c r="D14" s="37">
        <f>SUM('Plan 2025.'!$C14)</f>
        <v>10000</v>
      </c>
      <c r="E14" s="37">
        <v>10000</v>
      </c>
      <c r="F14" s="37">
        <f>SUM('Plan 2025.'!D14)</f>
        <v>0</v>
      </c>
      <c r="G14" s="75">
        <f t="shared" si="0"/>
        <v>10000</v>
      </c>
      <c r="H14" s="37"/>
      <c r="I14" s="79" t="str">
        <f t="shared" si="1"/>
        <v>-</v>
      </c>
      <c r="J14" s="41" t="str">
        <f t="shared" si="1"/>
        <v>-</v>
      </c>
      <c r="K14" s="37">
        <f t="shared" si="2"/>
        <v>10500</v>
      </c>
      <c r="L14" s="37"/>
      <c r="M14" s="37">
        <f t="shared" si="3"/>
        <v>11000</v>
      </c>
      <c r="N14" s="37"/>
    </row>
    <row r="15" spans="1:14" ht="28.5" x14ac:dyDescent="0.2">
      <c r="A15" s="40" t="s">
        <v>57</v>
      </c>
      <c r="B15" s="37">
        <v>0</v>
      </c>
      <c r="C15" s="75"/>
      <c r="D15" s="37">
        <f>SUM('Plan 2025.'!$C15)</f>
        <v>10000</v>
      </c>
      <c r="E15" s="37">
        <v>10000</v>
      </c>
      <c r="F15" s="37">
        <f>SUM('Plan 2025.'!D15)</f>
        <v>0</v>
      </c>
      <c r="G15" s="75">
        <f t="shared" si="0"/>
        <v>10000</v>
      </c>
      <c r="H15" s="37"/>
      <c r="I15" s="79" t="str">
        <f t="shared" si="1"/>
        <v>-</v>
      </c>
      <c r="J15" s="41" t="str">
        <f t="shared" si="1"/>
        <v>-</v>
      </c>
      <c r="K15" s="37">
        <f t="shared" si="2"/>
        <v>10500</v>
      </c>
      <c r="L15" s="37"/>
      <c r="M15" s="37">
        <f t="shared" si="3"/>
        <v>11000</v>
      </c>
      <c r="N15" s="37"/>
    </row>
    <row r="16" spans="1:14" ht="14.25" x14ac:dyDescent="0.2">
      <c r="A16" s="42" t="s">
        <v>58</v>
      </c>
      <c r="B16" s="37">
        <v>135000</v>
      </c>
      <c r="C16" s="75">
        <v>50396.44</v>
      </c>
      <c r="D16" s="37">
        <v>135000</v>
      </c>
      <c r="E16" s="37">
        <v>150000</v>
      </c>
      <c r="F16" s="37">
        <f>SUM('Plan 2025.'!D16)</f>
        <v>0</v>
      </c>
      <c r="G16" s="75">
        <f t="shared" si="0"/>
        <v>150000</v>
      </c>
      <c r="H16" s="37"/>
      <c r="I16" s="79">
        <f t="shared" si="1"/>
        <v>0.11111111111111116</v>
      </c>
      <c r="J16" s="41">
        <f t="shared" si="1"/>
        <v>1.9764007140186886</v>
      </c>
      <c r="K16" s="37">
        <f t="shared" si="2"/>
        <v>141750</v>
      </c>
      <c r="L16" s="37"/>
      <c r="M16" s="37">
        <f t="shared" si="3"/>
        <v>148500</v>
      </c>
      <c r="N16" s="37"/>
    </row>
    <row r="17" spans="1:14" ht="14.25" x14ac:dyDescent="0.2">
      <c r="A17" s="42" t="s">
        <v>59</v>
      </c>
      <c r="B17" s="37">
        <v>5000</v>
      </c>
      <c r="C17" s="75"/>
      <c r="D17" s="37">
        <f>SUM('Plan 2025.'!$C17)</f>
        <v>10000</v>
      </c>
      <c r="E17" s="37">
        <v>10000</v>
      </c>
      <c r="F17" s="37">
        <f>SUM('Plan 2025.'!D17)</f>
        <v>0</v>
      </c>
      <c r="G17" s="75">
        <f t="shared" si="0"/>
        <v>10000</v>
      </c>
      <c r="H17" s="37"/>
      <c r="I17" s="79">
        <f t="shared" si="1"/>
        <v>1</v>
      </c>
      <c r="J17" s="41" t="str">
        <f t="shared" si="1"/>
        <v>-</v>
      </c>
      <c r="K17" s="37">
        <f t="shared" si="2"/>
        <v>10500</v>
      </c>
      <c r="L17" s="37"/>
      <c r="M17" s="37">
        <f t="shared" si="3"/>
        <v>11000</v>
      </c>
      <c r="N17" s="37"/>
    </row>
    <row r="18" spans="1:14" ht="28.5" x14ac:dyDescent="0.2">
      <c r="A18" s="40" t="s">
        <v>60</v>
      </c>
      <c r="B18" s="37">
        <v>30000</v>
      </c>
      <c r="C18" s="75">
        <v>30173.14</v>
      </c>
      <c r="D18" s="37">
        <f>SUM('Plan 2025.'!$C18)</f>
        <v>34000</v>
      </c>
      <c r="E18" s="37">
        <v>34000</v>
      </c>
      <c r="F18" s="37">
        <f>SUM('Plan 2025.'!D18)</f>
        <v>0</v>
      </c>
      <c r="G18" s="75">
        <f t="shared" si="0"/>
        <v>34000</v>
      </c>
      <c r="H18" s="37"/>
      <c r="I18" s="79">
        <f t="shared" si="1"/>
        <v>0.1333333333333333</v>
      </c>
      <c r="J18" s="41">
        <f t="shared" si="1"/>
        <v>0.1268300216682785</v>
      </c>
      <c r="K18" s="37">
        <f t="shared" si="2"/>
        <v>35700</v>
      </c>
      <c r="L18" s="37"/>
      <c r="M18" s="37">
        <f t="shared" si="3"/>
        <v>37400</v>
      </c>
      <c r="N18" s="37"/>
    </row>
    <row r="19" spans="1:14" ht="28.5" x14ac:dyDescent="0.2">
      <c r="A19" s="40" t="s">
        <v>61</v>
      </c>
      <c r="B19" s="37">
        <v>28000</v>
      </c>
      <c r="C19" s="75">
        <v>8150.25</v>
      </c>
      <c r="D19" s="37">
        <f>SUM('Plan 2025.'!$C19)</f>
        <v>18000</v>
      </c>
      <c r="E19" s="37">
        <v>18000</v>
      </c>
      <c r="F19" s="37">
        <f>SUM('Plan 2025.'!D19)</f>
        <v>0</v>
      </c>
      <c r="G19" s="75">
        <f t="shared" si="0"/>
        <v>18000</v>
      </c>
      <c r="H19" s="37"/>
      <c r="I19" s="79">
        <f t="shared" si="1"/>
        <v>-0.3571428571428571</v>
      </c>
      <c r="J19" s="41">
        <f t="shared" si="1"/>
        <v>1.2085212110057975</v>
      </c>
      <c r="K19" s="37">
        <f t="shared" si="2"/>
        <v>18900</v>
      </c>
      <c r="L19" s="37"/>
      <c r="M19" s="37">
        <f t="shared" si="3"/>
        <v>19800</v>
      </c>
      <c r="N19" s="37"/>
    </row>
    <row r="20" spans="1:14" ht="14.25" hidden="1" x14ac:dyDescent="0.2">
      <c r="A20" s="42" t="s">
        <v>62</v>
      </c>
      <c r="B20" s="37">
        <v>0</v>
      </c>
      <c r="C20" s="75"/>
      <c r="D20" s="37">
        <v>0</v>
      </c>
      <c r="E20" s="37">
        <v>0</v>
      </c>
      <c r="F20" s="37">
        <f>SUM('Plan 2025.'!D20)</f>
        <v>0</v>
      </c>
      <c r="G20" s="75">
        <f t="shared" si="0"/>
        <v>0</v>
      </c>
      <c r="H20" s="37"/>
      <c r="I20" s="79" t="str">
        <f t="shared" si="1"/>
        <v>-</v>
      </c>
      <c r="J20" s="41" t="str">
        <f t="shared" si="1"/>
        <v>-</v>
      </c>
      <c r="K20" s="37">
        <f t="shared" si="2"/>
        <v>0</v>
      </c>
      <c r="L20" s="37"/>
      <c r="M20" s="37">
        <f t="shared" si="3"/>
        <v>0</v>
      </c>
      <c r="N20" s="37"/>
    </row>
    <row r="21" spans="1:14" ht="14.25" x14ac:dyDescent="0.2">
      <c r="A21" s="43" t="s">
        <v>173</v>
      </c>
      <c r="B21" s="37">
        <v>6000</v>
      </c>
      <c r="C21" s="75">
        <v>5780</v>
      </c>
      <c r="D21" s="37">
        <f>SUM('Plan 2025.'!$C21)</f>
        <v>10000</v>
      </c>
      <c r="E21" s="37">
        <v>10000</v>
      </c>
      <c r="F21" s="37">
        <f>SUM('Plan 2025.'!D21)</f>
        <v>0</v>
      </c>
      <c r="G21" s="75">
        <f t="shared" si="0"/>
        <v>10000</v>
      </c>
      <c r="H21" s="37"/>
      <c r="I21" s="79">
        <f t="shared" si="1"/>
        <v>0.66666666666666674</v>
      </c>
      <c r="J21" s="41">
        <f t="shared" si="1"/>
        <v>0.73010380622837379</v>
      </c>
      <c r="K21" s="37">
        <f t="shared" si="2"/>
        <v>10500</v>
      </c>
      <c r="L21" s="37"/>
      <c r="M21" s="37">
        <f t="shared" si="3"/>
        <v>11000</v>
      </c>
      <c r="N21" s="37"/>
    </row>
    <row r="22" spans="1:14" ht="28.5" x14ac:dyDescent="0.2">
      <c r="A22" s="40" t="s">
        <v>192</v>
      </c>
      <c r="B22" s="37">
        <v>50000</v>
      </c>
      <c r="C22" s="75">
        <v>50377.23</v>
      </c>
      <c r="D22" s="75">
        <v>78000</v>
      </c>
      <c r="E22" s="75">
        <v>78000</v>
      </c>
      <c r="F22" s="37">
        <f>SUM('Plan 2025.'!D22)</f>
        <v>0</v>
      </c>
      <c r="G22" s="75">
        <f t="shared" si="0"/>
        <v>78000</v>
      </c>
      <c r="H22" s="37"/>
      <c r="I22" s="79">
        <f t="shared" si="1"/>
        <v>0.56000000000000005</v>
      </c>
      <c r="J22" s="41">
        <f t="shared" si="1"/>
        <v>0.54831855582373223</v>
      </c>
      <c r="K22" s="37">
        <f t="shared" si="2"/>
        <v>81900</v>
      </c>
      <c r="L22" s="37"/>
      <c r="M22" s="37">
        <f t="shared" si="3"/>
        <v>85800</v>
      </c>
      <c r="N22" s="37"/>
    </row>
    <row r="23" spans="1:14" ht="14.25" x14ac:dyDescent="0.2">
      <c r="A23" s="42" t="s">
        <v>63</v>
      </c>
      <c r="B23" s="37">
        <v>90000</v>
      </c>
      <c r="C23" s="75">
        <v>89678.41</v>
      </c>
      <c r="D23" s="37">
        <f>SUM('Plan 2025.'!$C23)</f>
        <v>90000</v>
      </c>
      <c r="E23" s="37">
        <v>90000</v>
      </c>
      <c r="F23" s="37">
        <f>SUM('Plan 2025.'!D23)</f>
        <v>0</v>
      </c>
      <c r="G23" s="75">
        <f t="shared" si="0"/>
        <v>90000</v>
      </c>
      <c r="H23" s="37"/>
      <c r="I23" s="79">
        <f t="shared" si="1"/>
        <v>0</v>
      </c>
      <c r="J23" s="41">
        <f t="shared" si="1"/>
        <v>3.5860359254809016E-3</v>
      </c>
      <c r="K23" s="37">
        <f t="shared" si="2"/>
        <v>94500</v>
      </c>
      <c r="L23" s="37"/>
      <c r="M23" s="37">
        <f t="shared" si="3"/>
        <v>99000.000000000015</v>
      </c>
      <c r="N23" s="37"/>
    </row>
    <row r="24" spans="1:14" ht="14.25" hidden="1" x14ac:dyDescent="0.2">
      <c r="A24" s="42" t="s">
        <v>64</v>
      </c>
      <c r="B24" s="37">
        <v>0</v>
      </c>
      <c r="C24" s="75"/>
      <c r="D24" s="37">
        <f>SUM('Plan 2025.'!$C24)</f>
        <v>0</v>
      </c>
      <c r="E24" s="37">
        <v>0</v>
      </c>
      <c r="F24" s="37">
        <f>SUM('Plan 2025.'!D24)</f>
        <v>0</v>
      </c>
      <c r="G24" s="75">
        <f t="shared" si="0"/>
        <v>0</v>
      </c>
      <c r="H24" s="37"/>
      <c r="I24" s="79" t="str">
        <f t="shared" si="1"/>
        <v>-</v>
      </c>
      <c r="J24" s="41" t="str">
        <f t="shared" si="1"/>
        <v>-</v>
      </c>
      <c r="K24" s="37">
        <f t="shared" si="2"/>
        <v>0</v>
      </c>
      <c r="L24" s="37">
        <v>1150</v>
      </c>
      <c r="M24" s="37">
        <f t="shared" si="3"/>
        <v>0</v>
      </c>
      <c r="N24" s="37">
        <v>1250</v>
      </c>
    </row>
    <row r="25" spans="1:14" ht="14.25" x14ac:dyDescent="0.2">
      <c r="A25" s="42" t="s">
        <v>65</v>
      </c>
      <c r="B25" s="37">
        <v>35000</v>
      </c>
      <c r="C25" s="75">
        <v>37555.620000000003</v>
      </c>
      <c r="D25" s="37">
        <f>SUM('Plan 2025.'!$C25)</f>
        <v>40000</v>
      </c>
      <c r="E25" s="37">
        <v>40000</v>
      </c>
      <c r="F25" s="37">
        <f>SUM('Plan 2025.'!D25)</f>
        <v>0</v>
      </c>
      <c r="G25" s="75">
        <f t="shared" si="0"/>
        <v>40000</v>
      </c>
      <c r="H25" s="37"/>
      <c r="I25" s="79">
        <f t="shared" si="1"/>
        <v>0.14285714285714279</v>
      </c>
      <c r="J25" s="41">
        <f t="shared" si="1"/>
        <v>6.508692973248742E-2</v>
      </c>
      <c r="K25" s="37">
        <f t="shared" si="2"/>
        <v>42000</v>
      </c>
      <c r="L25" s="37"/>
      <c r="M25" s="37">
        <f t="shared" si="3"/>
        <v>44000</v>
      </c>
      <c r="N25" s="37"/>
    </row>
    <row r="26" spans="1:14" ht="14.25" x14ac:dyDescent="0.2">
      <c r="A26" s="42" t="s">
        <v>66</v>
      </c>
      <c r="B26" s="37">
        <v>1000</v>
      </c>
      <c r="C26" s="75">
        <v>1425.63</v>
      </c>
      <c r="D26" s="37">
        <f>SUM('Plan 2025.'!$C26)</f>
        <v>2000</v>
      </c>
      <c r="E26" s="37">
        <v>2000</v>
      </c>
      <c r="F26" s="37">
        <f>SUM('Plan 2025.'!D26)</f>
        <v>0</v>
      </c>
      <c r="G26" s="75">
        <f t="shared" si="0"/>
        <v>2000</v>
      </c>
      <c r="H26" s="37">
        <v>2000</v>
      </c>
      <c r="I26" s="79">
        <f t="shared" si="1"/>
        <v>1</v>
      </c>
      <c r="J26" s="41">
        <f t="shared" si="1"/>
        <v>0.40288854751934222</v>
      </c>
      <c r="K26" s="37">
        <f t="shared" si="2"/>
        <v>2100</v>
      </c>
      <c r="L26" s="37">
        <v>2100</v>
      </c>
      <c r="M26" s="37">
        <f t="shared" si="3"/>
        <v>2200</v>
      </c>
      <c r="N26" s="37"/>
    </row>
    <row r="27" spans="1:14" ht="28.5" x14ac:dyDescent="0.2">
      <c r="A27" s="40" t="s">
        <v>67</v>
      </c>
      <c r="B27" s="37">
        <v>25000</v>
      </c>
      <c r="C27" s="75">
        <v>22985.95</v>
      </c>
      <c r="D27" s="37">
        <f>SUM('Plan 2025.'!$C27)</f>
        <v>28000</v>
      </c>
      <c r="E27" s="37">
        <v>28000</v>
      </c>
      <c r="F27" s="37">
        <f>SUM('Plan 2025.'!D27)</f>
        <v>0</v>
      </c>
      <c r="G27" s="75">
        <f t="shared" si="0"/>
        <v>28000</v>
      </c>
      <c r="H27" s="37"/>
      <c r="I27" s="79">
        <f t="shared" si="1"/>
        <v>0.12000000000000011</v>
      </c>
      <c r="J27" s="41">
        <f t="shared" si="1"/>
        <v>0.21813542620600845</v>
      </c>
      <c r="K27" s="37">
        <f t="shared" si="2"/>
        <v>29400</v>
      </c>
      <c r="L27" s="37"/>
      <c r="M27" s="37">
        <f t="shared" si="3"/>
        <v>30800.000000000004</v>
      </c>
      <c r="N27" s="37"/>
    </row>
    <row r="28" spans="1:14" ht="28.5" x14ac:dyDescent="0.2">
      <c r="A28" s="40" t="s">
        <v>68</v>
      </c>
      <c r="B28" s="37">
        <v>28000</v>
      </c>
      <c r="C28" s="75">
        <v>28811.48</v>
      </c>
      <c r="D28" s="37">
        <f>SUM('Plan 2025.'!$C28)</f>
        <v>32000</v>
      </c>
      <c r="E28" s="37">
        <v>32000</v>
      </c>
      <c r="F28" s="37">
        <f>SUM('Plan 2025.'!D28)</f>
        <v>0</v>
      </c>
      <c r="G28" s="75">
        <f t="shared" si="0"/>
        <v>32000</v>
      </c>
      <c r="H28" s="37"/>
      <c r="I28" s="79">
        <f t="shared" si="1"/>
        <v>0.14285714285714279</v>
      </c>
      <c r="J28" s="41">
        <f t="shared" si="1"/>
        <v>0.11066838635155163</v>
      </c>
      <c r="K28" s="37">
        <f t="shared" si="2"/>
        <v>33600</v>
      </c>
      <c r="L28" s="37"/>
      <c r="M28" s="37">
        <f t="shared" si="3"/>
        <v>35200</v>
      </c>
      <c r="N28" s="37"/>
    </row>
    <row r="29" spans="1:14" ht="14.25" x14ac:dyDescent="0.2">
      <c r="A29" s="42" t="s">
        <v>69</v>
      </c>
      <c r="B29" s="75">
        <v>90000</v>
      </c>
      <c r="C29" s="75">
        <f>SUM(100784.75+11983.44)</f>
        <v>112768.19</v>
      </c>
      <c r="D29" s="75">
        <f>SUM('Plan 2025.'!$C29)</f>
        <v>105000</v>
      </c>
      <c r="E29" s="75">
        <v>105000</v>
      </c>
      <c r="F29" s="75">
        <f>SUM('Plan 2025.'!D29)</f>
        <v>7000</v>
      </c>
      <c r="G29" s="75">
        <f t="shared" si="0"/>
        <v>112000</v>
      </c>
      <c r="H29" s="37">
        <v>25000</v>
      </c>
      <c r="I29" s="79">
        <f t="shared" si="1"/>
        <v>0.24444444444444446</v>
      </c>
      <c r="J29" s="41">
        <f t="shared" si="1"/>
        <v>-6.8121160763510158E-3</v>
      </c>
      <c r="K29" s="37">
        <f t="shared" si="2"/>
        <v>110250</v>
      </c>
      <c r="L29" s="37">
        <v>28000</v>
      </c>
      <c r="M29" s="37">
        <f t="shared" si="3"/>
        <v>115500.00000000001</v>
      </c>
      <c r="N29" s="37">
        <v>29000</v>
      </c>
    </row>
    <row r="30" spans="1:14" ht="14.25" x14ac:dyDescent="0.2">
      <c r="A30" s="42" t="s">
        <v>70</v>
      </c>
      <c r="B30" s="37">
        <v>46000</v>
      </c>
      <c r="C30" s="75">
        <v>44509.22</v>
      </c>
      <c r="D30" s="37">
        <f>SUM('Plan 2025.'!$C30)</f>
        <v>50000</v>
      </c>
      <c r="E30" s="37">
        <v>50000</v>
      </c>
      <c r="F30" s="37">
        <f>SUM('Plan 2025.'!D30)</f>
        <v>0</v>
      </c>
      <c r="G30" s="75">
        <f t="shared" si="0"/>
        <v>50000</v>
      </c>
      <c r="H30" s="37">
        <v>50000</v>
      </c>
      <c r="I30" s="41">
        <f t="shared" si="1"/>
        <v>8.6956521739130377E-2</v>
      </c>
      <c r="J30" s="41">
        <f t="shared" si="1"/>
        <v>0.12336275495279403</v>
      </c>
      <c r="K30" s="37">
        <f t="shared" si="2"/>
        <v>52500</v>
      </c>
      <c r="L30" s="37">
        <v>52500</v>
      </c>
      <c r="M30" s="37">
        <f t="shared" si="3"/>
        <v>55000.000000000007</v>
      </c>
      <c r="N30" s="37">
        <v>57500</v>
      </c>
    </row>
    <row r="31" spans="1:14" ht="14.25" hidden="1" x14ac:dyDescent="0.2">
      <c r="A31" s="40" t="s">
        <v>204</v>
      </c>
      <c r="B31" s="37"/>
      <c r="C31" s="75">
        <f>SUM(14644+1416+5762.38+1061.76)</f>
        <v>22884.14</v>
      </c>
      <c r="D31" s="37">
        <f>SUM('Plan 2025.'!$C31)</f>
        <v>0</v>
      </c>
      <c r="E31" s="37">
        <v>0</v>
      </c>
      <c r="F31" s="37">
        <f>SUM('Plan 2025.'!D31)</f>
        <v>0</v>
      </c>
      <c r="G31" s="75">
        <f t="shared" si="0"/>
        <v>0</v>
      </c>
      <c r="H31" s="37"/>
      <c r="I31" s="41" t="str">
        <f t="shared" si="1"/>
        <v>-</v>
      </c>
      <c r="J31" s="41">
        <f t="shared" si="1"/>
        <v>-1</v>
      </c>
      <c r="K31" s="37">
        <f t="shared" si="2"/>
        <v>0</v>
      </c>
      <c r="L31" s="37">
        <v>0</v>
      </c>
      <c r="M31" s="37">
        <f t="shared" si="3"/>
        <v>0</v>
      </c>
      <c r="N31" s="37">
        <v>0</v>
      </c>
    </row>
    <row r="32" spans="1:14" ht="28.5" x14ac:dyDescent="0.2">
      <c r="A32" s="40" t="s">
        <v>180</v>
      </c>
      <c r="B32" s="37">
        <v>37000</v>
      </c>
      <c r="C32" s="75"/>
      <c r="D32" s="37">
        <v>61000</v>
      </c>
      <c r="E32" s="37">
        <v>67000</v>
      </c>
      <c r="F32" s="37">
        <f>SUM('Plan 2025.'!D32)</f>
        <v>-20000</v>
      </c>
      <c r="G32" s="75">
        <f t="shared" si="0"/>
        <v>47000</v>
      </c>
      <c r="H32" s="37"/>
      <c r="I32" s="41">
        <f t="shared" si="1"/>
        <v>0.27027027027027017</v>
      </c>
      <c r="J32" s="41" t="str">
        <f t="shared" si="1"/>
        <v>-</v>
      </c>
      <c r="K32" s="37">
        <f t="shared" si="2"/>
        <v>64050</v>
      </c>
      <c r="L32" s="37"/>
      <c r="M32" s="37">
        <f t="shared" si="3"/>
        <v>67100</v>
      </c>
      <c r="N32" s="37"/>
    </row>
    <row r="33" spans="1:14" s="8" customFormat="1" x14ac:dyDescent="0.25">
      <c r="A33" s="44" t="s">
        <v>71</v>
      </c>
      <c r="B33" s="45">
        <v>1356000</v>
      </c>
      <c r="C33" s="45">
        <f>SUM(C5:C32)</f>
        <v>1272448.5799999996</v>
      </c>
      <c r="D33" s="45">
        <f>SUM(D5:D32)</f>
        <v>1519000</v>
      </c>
      <c r="E33" s="45">
        <f>SUM(E5:E32)</f>
        <v>1540000</v>
      </c>
      <c r="F33" s="45">
        <f>SUM('Plan 2025.'!D33)</f>
        <v>37000</v>
      </c>
      <c r="G33" s="45">
        <f t="shared" ref="G33" si="4">SUM(G5:G32)</f>
        <v>1577000</v>
      </c>
      <c r="H33" s="45">
        <f>SUM(H5:H32)</f>
        <v>132000</v>
      </c>
      <c r="I33" s="53">
        <f t="shared" si="1"/>
        <v>0.16297935103244843</v>
      </c>
      <c r="J33" s="53">
        <f t="shared" si="1"/>
        <v>0.23934281100773469</v>
      </c>
      <c r="K33" s="45">
        <f t="shared" ref="K33:N33" si="5">SUM(K5:K32)</f>
        <v>1594950</v>
      </c>
      <c r="L33" s="45">
        <f t="shared" si="5"/>
        <v>141500</v>
      </c>
      <c r="M33" s="45">
        <f t="shared" si="5"/>
        <v>1670900</v>
      </c>
      <c r="N33" s="45">
        <f t="shared" si="5"/>
        <v>148250</v>
      </c>
    </row>
    <row r="34" spans="1:14" ht="14.25" x14ac:dyDescent="0.2">
      <c r="A34" s="42" t="s">
        <v>174</v>
      </c>
      <c r="B34" s="37">
        <v>3000</v>
      </c>
      <c r="C34" s="75">
        <v>1118.79</v>
      </c>
      <c r="D34" s="37">
        <f>SUM('Plan 2025.'!$C34)</f>
        <v>1000</v>
      </c>
      <c r="E34" s="37">
        <v>1000</v>
      </c>
      <c r="F34" s="37">
        <f>SUM('Plan 2025.'!D34)</f>
        <v>0</v>
      </c>
      <c r="G34" s="75">
        <f>SUM(E34:F34)</f>
        <v>1000</v>
      </c>
      <c r="H34" s="37"/>
      <c r="I34" s="41">
        <f t="shared" si="1"/>
        <v>-0.66666666666666674</v>
      </c>
      <c r="J34" s="41">
        <f t="shared" si="1"/>
        <v>-0.10617720930648289</v>
      </c>
      <c r="K34" s="37">
        <f>SUM(D34)*105%</f>
        <v>1050</v>
      </c>
      <c r="L34" s="37"/>
      <c r="M34" s="37">
        <f>SUM(D34)*110%</f>
        <v>1100</v>
      </c>
      <c r="N34" s="37"/>
    </row>
    <row r="35" spans="1:14" ht="14.25" x14ac:dyDescent="0.2">
      <c r="A35" s="42" t="s">
        <v>183</v>
      </c>
      <c r="B35" s="37">
        <v>3000</v>
      </c>
      <c r="C35" s="75"/>
      <c r="D35" s="37">
        <f>SUM('Plan 2025.'!$C35)</f>
        <v>1000</v>
      </c>
      <c r="E35" s="37">
        <v>1000</v>
      </c>
      <c r="F35" s="37">
        <f>SUM('Plan 2025.'!D35)</f>
        <v>0</v>
      </c>
      <c r="G35" s="75">
        <f t="shared" ref="G35:G39" si="6">SUM(E35:F35)</f>
        <v>1000</v>
      </c>
      <c r="H35" s="37"/>
      <c r="I35" s="41">
        <f t="shared" si="1"/>
        <v>-0.66666666666666674</v>
      </c>
      <c r="J35" s="41" t="str">
        <f t="shared" si="1"/>
        <v>-</v>
      </c>
      <c r="K35" s="37">
        <f t="shared" ref="K35:K39" si="7">SUM(D35)*105%</f>
        <v>1050</v>
      </c>
      <c r="L35" s="37"/>
      <c r="M35" s="37">
        <f t="shared" ref="M35:M39" si="8">SUM(D35)*110%</f>
        <v>1100</v>
      </c>
      <c r="N35" s="37"/>
    </row>
    <row r="36" spans="1:14" ht="28.5" x14ac:dyDescent="0.2">
      <c r="A36" s="40" t="s">
        <v>72</v>
      </c>
      <c r="B36" s="37">
        <v>15000</v>
      </c>
      <c r="C36" s="75">
        <v>19100.919999999998</v>
      </c>
      <c r="D36" s="37">
        <f>SUM('Plan 2025.'!$C36)</f>
        <v>10000.1</v>
      </c>
      <c r="E36" s="37">
        <v>10000</v>
      </c>
      <c r="F36" s="37">
        <f>SUM('Plan 2025.'!D36)</f>
        <v>0</v>
      </c>
      <c r="G36" s="75">
        <f t="shared" si="6"/>
        <v>10000</v>
      </c>
      <c r="H36" s="37"/>
      <c r="I36" s="41">
        <f t="shared" si="1"/>
        <v>-0.33333333333333337</v>
      </c>
      <c r="J36" s="41">
        <f t="shared" si="1"/>
        <v>-0.47646500796820257</v>
      </c>
      <c r="K36" s="37">
        <f t="shared" si="7"/>
        <v>10500.105000000001</v>
      </c>
      <c r="L36" s="37"/>
      <c r="M36" s="37">
        <f t="shared" si="8"/>
        <v>11000.11</v>
      </c>
      <c r="N36" s="37"/>
    </row>
    <row r="37" spans="1:14" ht="28.5" x14ac:dyDescent="0.2">
      <c r="A37" s="40" t="s">
        <v>73</v>
      </c>
      <c r="B37" s="37">
        <v>2000</v>
      </c>
      <c r="C37" s="75">
        <f>SUM(6231.02)</f>
        <v>6231.02</v>
      </c>
      <c r="D37" s="37">
        <f>SUM('Plan 2025.'!$C37)</f>
        <v>1000</v>
      </c>
      <c r="E37" s="37">
        <v>1000</v>
      </c>
      <c r="F37" s="37">
        <f>SUM('Plan 2025.'!D37)</f>
        <v>0</v>
      </c>
      <c r="G37" s="75">
        <f t="shared" si="6"/>
        <v>1000</v>
      </c>
      <c r="H37" s="37"/>
      <c r="I37" s="41">
        <f t="shared" si="1"/>
        <v>-0.5</v>
      </c>
      <c r="J37" s="41">
        <f t="shared" si="1"/>
        <v>-0.83951263196073844</v>
      </c>
      <c r="K37" s="37">
        <f t="shared" si="7"/>
        <v>1050</v>
      </c>
      <c r="L37" s="37"/>
      <c r="M37" s="37">
        <f t="shared" si="8"/>
        <v>1100</v>
      </c>
      <c r="N37" s="37"/>
    </row>
    <row r="38" spans="1:14" ht="14.25" x14ac:dyDescent="0.2">
      <c r="A38" s="42" t="s">
        <v>177</v>
      </c>
      <c r="B38" s="37">
        <v>2000</v>
      </c>
      <c r="C38" s="75">
        <f>SUM(665.4+27+49.97)</f>
        <v>742.37</v>
      </c>
      <c r="D38" s="37">
        <f>SUM('Plan 2025.'!$C38)</f>
        <v>1000</v>
      </c>
      <c r="E38" s="37">
        <v>1000</v>
      </c>
      <c r="F38" s="37">
        <f>SUM('Plan 2025.'!D38)</f>
        <v>0</v>
      </c>
      <c r="G38" s="75">
        <f t="shared" si="6"/>
        <v>1000</v>
      </c>
      <c r="H38" s="37"/>
      <c r="I38" s="41">
        <f t="shared" si="1"/>
        <v>-0.5</v>
      </c>
      <c r="J38" s="41">
        <f t="shared" si="1"/>
        <v>0.34703719169686265</v>
      </c>
      <c r="K38" s="37">
        <f t="shared" si="7"/>
        <v>1050</v>
      </c>
      <c r="L38" s="37"/>
      <c r="M38" s="37">
        <f t="shared" si="8"/>
        <v>1100</v>
      </c>
      <c r="N38" s="37"/>
    </row>
    <row r="39" spans="1:14" ht="14.25" x14ac:dyDescent="0.2">
      <c r="A39" s="42" t="s">
        <v>74</v>
      </c>
      <c r="B39" s="37">
        <v>4000</v>
      </c>
      <c r="C39" s="75">
        <v>7107.58</v>
      </c>
      <c r="D39" s="37">
        <f>SUM('Plan 2025.'!$C39)</f>
        <v>2000</v>
      </c>
      <c r="E39" s="37">
        <v>2000</v>
      </c>
      <c r="F39" s="37">
        <f>SUM('Plan 2025.'!D39)</f>
        <v>0</v>
      </c>
      <c r="G39" s="75">
        <f t="shared" si="6"/>
        <v>2000</v>
      </c>
      <c r="H39" s="37"/>
      <c r="I39" s="41">
        <f t="shared" si="1"/>
        <v>-0.5</v>
      </c>
      <c r="J39" s="41">
        <f t="shared" si="1"/>
        <v>-0.71861027241339526</v>
      </c>
      <c r="K39" s="37">
        <f t="shared" si="7"/>
        <v>2100</v>
      </c>
      <c r="L39" s="37"/>
      <c r="M39" s="37">
        <f t="shared" si="8"/>
        <v>2200</v>
      </c>
      <c r="N39" s="37"/>
    </row>
    <row r="40" spans="1:14" s="8" customFormat="1" x14ac:dyDescent="0.25">
      <c r="A40" s="44" t="s">
        <v>75</v>
      </c>
      <c r="B40" s="45">
        <v>1385000</v>
      </c>
      <c r="C40" s="45">
        <f>SUM(C33:C39)</f>
        <v>1306749.2599999998</v>
      </c>
      <c r="D40" s="45">
        <f>SUM(D33:D39)</f>
        <v>1535000.1</v>
      </c>
      <c r="E40" s="45">
        <f>SUM(E33:E39)</f>
        <v>1556000</v>
      </c>
      <c r="F40" s="45">
        <f t="shared" ref="F40:H40" si="9">SUM(F33:F39)</f>
        <v>37000</v>
      </c>
      <c r="G40" s="45">
        <f t="shared" si="9"/>
        <v>1593000</v>
      </c>
      <c r="H40" s="45">
        <f t="shared" si="9"/>
        <v>132000</v>
      </c>
      <c r="I40" s="53">
        <f t="shared" si="1"/>
        <v>0.15018050541516237</v>
      </c>
      <c r="J40" s="53">
        <f t="shared" si="1"/>
        <v>0.21905559755205095</v>
      </c>
      <c r="K40" s="45">
        <f t="shared" ref="K40:N40" si="10">SUM(K33:K39)</f>
        <v>1611750.105</v>
      </c>
      <c r="L40" s="45">
        <f t="shared" si="10"/>
        <v>141500</v>
      </c>
      <c r="M40" s="45">
        <f t="shared" si="10"/>
        <v>1688500.11</v>
      </c>
      <c r="N40" s="45">
        <f t="shared" si="10"/>
        <v>148250</v>
      </c>
    </row>
    <row r="41" spans="1:14" s="8" customFormat="1" ht="9" customHeight="1" x14ac:dyDescent="0.25">
      <c r="A41" s="26"/>
      <c r="B41" s="27"/>
      <c r="C41" s="76"/>
      <c r="D41" s="27"/>
      <c r="E41" s="27"/>
      <c r="F41" s="27"/>
      <c r="G41" s="76"/>
      <c r="H41" s="27"/>
      <c r="I41" s="41" t="str">
        <f t="shared" si="1"/>
        <v>-</v>
      </c>
      <c r="J41" s="41" t="str">
        <f t="shared" si="1"/>
        <v>-</v>
      </c>
      <c r="K41" s="27"/>
      <c r="L41" s="27"/>
      <c r="M41" s="27"/>
      <c r="N41" s="27"/>
    </row>
    <row r="42" spans="1:14" s="8" customFormat="1" x14ac:dyDescent="0.25">
      <c r="A42" s="39" t="s">
        <v>76</v>
      </c>
      <c r="B42" s="34"/>
      <c r="C42" s="34"/>
      <c r="D42" s="34"/>
      <c r="E42" s="34"/>
      <c r="F42" s="34"/>
      <c r="G42" s="34"/>
      <c r="H42" s="34"/>
      <c r="I42" s="34" t="str">
        <f t="shared" si="1"/>
        <v>-</v>
      </c>
      <c r="J42" s="34" t="str">
        <f t="shared" si="1"/>
        <v>-</v>
      </c>
      <c r="K42" s="34"/>
      <c r="L42" s="34"/>
      <c r="M42" s="34"/>
      <c r="N42" s="34"/>
    </row>
    <row r="43" spans="1:14" x14ac:dyDescent="0.25">
      <c r="A43" s="46" t="s">
        <v>77</v>
      </c>
      <c r="B43" s="47">
        <v>198800</v>
      </c>
      <c r="C43" s="47">
        <f t="shared" ref="C43:H43" si="11">SUM(C44:C48)</f>
        <v>173496.31</v>
      </c>
      <c r="D43" s="56">
        <f t="shared" si="11"/>
        <v>164900</v>
      </c>
      <c r="E43" s="56">
        <f t="shared" si="11"/>
        <v>170900</v>
      </c>
      <c r="F43" s="47">
        <f t="shared" si="11"/>
        <v>0</v>
      </c>
      <c r="G43" s="47">
        <f t="shared" si="11"/>
        <v>170900</v>
      </c>
      <c r="H43" s="47">
        <f t="shared" si="11"/>
        <v>32400</v>
      </c>
      <c r="I43" s="53">
        <f t="shared" si="1"/>
        <v>-0.1403420523138833</v>
      </c>
      <c r="J43" s="53">
        <f t="shared" si="1"/>
        <v>-1.496464103472861E-2</v>
      </c>
      <c r="K43" s="47">
        <f>SUM(K44:K48)</f>
        <v>173145</v>
      </c>
      <c r="L43" s="47">
        <f t="shared" ref="L43:N43" si="12">SUM(L44:L48)</f>
        <v>34020</v>
      </c>
      <c r="M43" s="47">
        <f t="shared" si="12"/>
        <v>181390.00000000003</v>
      </c>
      <c r="N43" s="47">
        <f t="shared" si="12"/>
        <v>35640</v>
      </c>
    </row>
    <row r="44" spans="1:14" ht="14.25" x14ac:dyDescent="0.2">
      <c r="A44" s="48" t="s">
        <v>78</v>
      </c>
      <c r="B44" s="49">
        <v>111300</v>
      </c>
      <c r="C44" s="77">
        <v>111125.44</v>
      </c>
      <c r="D44" s="49">
        <f>SUM('Plan 2025.'!C45)</f>
        <v>104500</v>
      </c>
      <c r="E44" s="49">
        <v>104500</v>
      </c>
      <c r="F44" s="49">
        <v>0</v>
      </c>
      <c r="G44" s="77">
        <f>SUM(E44:F44)</f>
        <v>104500</v>
      </c>
      <c r="H44" s="49">
        <v>28000</v>
      </c>
      <c r="I44" s="41">
        <f t="shared" si="1"/>
        <v>-6.1096136567834636E-2</v>
      </c>
      <c r="J44" s="41">
        <f t="shared" si="1"/>
        <v>-5.9621271240860807E-2</v>
      </c>
      <c r="K44" s="49">
        <f>SUM(D44)*105%</f>
        <v>109725</v>
      </c>
      <c r="L44" s="49">
        <f>SUM(H44*105%)</f>
        <v>29400</v>
      </c>
      <c r="M44" s="49">
        <f>SUM(D44)*110%</f>
        <v>114950.00000000001</v>
      </c>
      <c r="N44" s="49">
        <f>SUM(H44)*110%</f>
        <v>30800.000000000004</v>
      </c>
    </row>
    <row r="45" spans="1:14" ht="14.25" x14ac:dyDescent="0.2">
      <c r="A45" s="48" t="s">
        <v>90</v>
      </c>
      <c r="B45" s="49">
        <v>48000</v>
      </c>
      <c r="C45" s="77">
        <v>36389.94</v>
      </c>
      <c r="D45" s="49">
        <v>41000</v>
      </c>
      <c r="E45" s="49">
        <v>47000</v>
      </c>
      <c r="F45" s="49">
        <v>0</v>
      </c>
      <c r="G45" s="77">
        <f t="shared" ref="G45:G48" si="13">SUM(E45:F45)</f>
        <v>47000</v>
      </c>
      <c r="H45" s="49">
        <v>4000</v>
      </c>
      <c r="I45" s="41">
        <f t="shared" si="1"/>
        <v>-2.083333333333337E-2</v>
      </c>
      <c r="J45" s="41">
        <f t="shared" si="1"/>
        <v>0.29156574591769036</v>
      </c>
      <c r="K45" s="49">
        <f t="shared" ref="K45:K48" si="14">SUM(D45)*105%</f>
        <v>43050</v>
      </c>
      <c r="L45" s="49">
        <f t="shared" ref="L45:L48" si="15">SUM(H45*105%)</f>
        <v>4200</v>
      </c>
      <c r="M45" s="49">
        <f t="shared" ref="M45:M48" si="16">SUM(D45)*110%</f>
        <v>45100.000000000007</v>
      </c>
      <c r="N45" s="49">
        <f t="shared" ref="N45:N48" si="17">SUM(H45)*110%</f>
        <v>4400</v>
      </c>
    </row>
    <row r="46" spans="1:14" ht="14.25" x14ac:dyDescent="0.2">
      <c r="A46" s="48" t="s">
        <v>95</v>
      </c>
      <c r="B46" s="49">
        <v>4000</v>
      </c>
      <c r="C46" s="77">
        <v>4191.78</v>
      </c>
      <c r="D46" s="49">
        <f>SUM('Plan 2025.'!C67)</f>
        <v>4000</v>
      </c>
      <c r="E46" s="49">
        <v>4000</v>
      </c>
      <c r="F46" s="49">
        <v>0</v>
      </c>
      <c r="G46" s="77">
        <f t="shared" si="13"/>
        <v>4000</v>
      </c>
      <c r="H46" s="49">
        <v>400</v>
      </c>
      <c r="I46" s="41">
        <f t="shared" si="1"/>
        <v>0</v>
      </c>
      <c r="J46" s="41">
        <f t="shared" si="1"/>
        <v>-4.5751446879368607E-2</v>
      </c>
      <c r="K46" s="49">
        <f t="shared" si="14"/>
        <v>4200</v>
      </c>
      <c r="L46" s="49">
        <f t="shared" si="15"/>
        <v>420</v>
      </c>
      <c r="M46" s="49">
        <f t="shared" si="16"/>
        <v>4400</v>
      </c>
      <c r="N46" s="49">
        <f t="shared" si="17"/>
        <v>440.00000000000006</v>
      </c>
    </row>
    <row r="47" spans="1:14" ht="14.25" x14ac:dyDescent="0.2">
      <c r="A47" s="48" t="s">
        <v>96</v>
      </c>
      <c r="B47" s="49">
        <v>33500</v>
      </c>
      <c r="C47" s="77">
        <v>21537.15</v>
      </c>
      <c r="D47" s="49">
        <f>SUM('Plan 2025.'!C68)</f>
        <v>15000</v>
      </c>
      <c r="E47" s="49">
        <v>15000</v>
      </c>
      <c r="F47" s="49">
        <v>0</v>
      </c>
      <c r="G47" s="77">
        <f t="shared" si="13"/>
        <v>15000</v>
      </c>
      <c r="H47" s="49"/>
      <c r="I47" s="41">
        <f t="shared" si="1"/>
        <v>-0.55223880597014929</v>
      </c>
      <c r="J47" s="41">
        <f t="shared" si="1"/>
        <v>-0.30352901846344582</v>
      </c>
      <c r="K47" s="49">
        <f t="shared" si="14"/>
        <v>15750</v>
      </c>
      <c r="L47" s="49">
        <f t="shared" si="15"/>
        <v>0</v>
      </c>
      <c r="M47" s="49">
        <f t="shared" si="16"/>
        <v>16500</v>
      </c>
      <c r="N47" s="49">
        <f t="shared" si="17"/>
        <v>0</v>
      </c>
    </row>
    <row r="48" spans="1:14" ht="14.25" x14ac:dyDescent="0.2">
      <c r="A48" s="48" t="s">
        <v>100</v>
      </c>
      <c r="B48" s="49">
        <v>2000</v>
      </c>
      <c r="C48" s="77">
        <v>252</v>
      </c>
      <c r="D48" s="49">
        <f>SUM('Plan 2025.'!C74)</f>
        <v>400</v>
      </c>
      <c r="E48" s="49">
        <v>400</v>
      </c>
      <c r="F48" s="49">
        <v>0</v>
      </c>
      <c r="G48" s="77">
        <f t="shared" si="13"/>
        <v>400</v>
      </c>
      <c r="H48" s="49"/>
      <c r="I48" s="41">
        <f t="shared" si="1"/>
        <v>-0.8</v>
      </c>
      <c r="J48" s="41">
        <f t="shared" si="1"/>
        <v>0.58730158730158721</v>
      </c>
      <c r="K48" s="49">
        <f t="shared" si="14"/>
        <v>420</v>
      </c>
      <c r="L48" s="49">
        <f t="shared" si="15"/>
        <v>0</v>
      </c>
      <c r="M48" s="49">
        <f t="shared" si="16"/>
        <v>440.00000000000006</v>
      </c>
      <c r="N48" s="49">
        <f t="shared" si="17"/>
        <v>0</v>
      </c>
    </row>
    <row r="49" spans="1:14" x14ac:dyDescent="0.25">
      <c r="A49" s="46" t="s">
        <v>104</v>
      </c>
      <c r="B49" s="47">
        <v>318200</v>
      </c>
      <c r="C49" s="47">
        <f t="shared" ref="C49" si="18">SUM(C50:C55)</f>
        <v>217143.89</v>
      </c>
      <c r="D49" s="56">
        <f t="shared" ref="D49:H49" si="19">SUM(D50:D55)</f>
        <v>353500</v>
      </c>
      <c r="E49" s="56">
        <f t="shared" si="19"/>
        <v>369500</v>
      </c>
      <c r="F49" s="56">
        <f t="shared" si="19"/>
        <v>0</v>
      </c>
      <c r="G49" s="56">
        <f t="shared" si="19"/>
        <v>369500</v>
      </c>
      <c r="H49" s="47">
        <f t="shared" si="19"/>
        <v>6800</v>
      </c>
      <c r="I49" s="53">
        <f t="shared" si="1"/>
        <v>0.16121935889377759</v>
      </c>
      <c r="J49" s="53">
        <f t="shared" si="1"/>
        <v>0.70163664287307359</v>
      </c>
      <c r="K49" s="47">
        <f>SUM(K50:K55)</f>
        <v>371175</v>
      </c>
      <c r="L49" s="47">
        <f t="shared" ref="L49:N49" si="20">SUM(L50:L55)</f>
        <v>7140</v>
      </c>
      <c r="M49" s="47">
        <f t="shared" si="20"/>
        <v>388850</v>
      </c>
      <c r="N49" s="47">
        <f t="shared" si="20"/>
        <v>7480</v>
      </c>
    </row>
    <row r="50" spans="1:14" ht="14.25" x14ac:dyDescent="0.2">
      <c r="A50" s="48" t="s">
        <v>105</v>
      </c>
      <c r="B50" s="49">
        <v>10000</v>
      </c>
      <c r="C50" s="77">
        <v>11358.72</v>
      </c>
      <c r="D50" s="49">
        <f>SUM('Plan 2025.'!C78)</f>
        <v>12500</v>
      </c>
      <c r="E50" s="49">
        <v>12500</v>
      </c>
      <c r="F50" s="49">
        <v>0</v>
      </c>
      <c r="G50" s="77">
        <f>SUM(E50:F50)</f>
        <v>12500</v>
      </c>
      <c r="H50" s="49">
        <v>1200</v>
      </c>
      <c r="I50" s="41">
        <f t="shared" si="1"/>
        <v>0.25</v>
      </c>
      <c r="J50" s="41">
        <f t="shared" si="1"/>
        <v>0.10047610998422374</v>
      </c>
      <c r="K50" s="49">
        <f>SUM(D50)*105%</f>
        <v>13125</v>
      </c>
      <c r="L50" s="49">
        <f>SUM(H50)*105%</f>
        <v>1260</v>
      </c>
      <c r="M50" s="49">
        <f>SUM(D50)*110%</f>
        <v>13750.000000000002</v>
      </c>
      <c r="N50" s="49">
        <f>SUM(H50)*110%</f>
        <v>1320</v>
      </c>
    </row>
    <row r="51" spans="1:14" ht="14.25" x14ac:dyDescent="0.2">
      <c r="A51" s="50" t="s">
        <v>201</v>
      </c>
      <c r="B51" s="38">
        <v>123000</v>
      </c>
      <c r="C51" s="78">
        <v>32578.43</v>
      </c>
      <c r="D51" s="38">
        <v>130000</v>
      </c>
      <c r="E51" s="38">
        <v>140000</v>
      </c>
      <c r="F51" s="49">
        <v>0</v>
      </c>
      <c r="G51" s="77">
        <f t="shared" ref="G51:G55" si="21">SUM(E51:F51)</f>
        <v>140000</v>
      </c>
      <c r="H51" s="38"/>
      <c r="I51" s="41">
        <f t="shared" si="1"/>
        <v>0.13821138211382111</v>
      </c>
      <c r="J51" s="41">
        <f t="shared" si="1"/>
        <v>3.2973218783102807</v>
      </c>
      <c r="K51" s="49">
        <f t="shared" ref="K51:K55" si="22">SUM(D51)*105%</f>
        <v>136500</v>
      </c>
      <c r="L51" s="49">
        <f t="shared" ref="L51:L55" si="23">SUM(H51)*105%</f>
        <v>0</v>
      </c>
      <c r="M51" s="49">
        <f t="shared" ref="M51:M55" si="24">SUM(D51)*110%</f>
        <v>143000</v>
      </c>
      <c r="N51" s="49">
        <f t="shared" ref="N51:N55" si="25">SUM(H51)*110%</f>
        <v>0</v>
      </c>
    </row>
    <row r="52" spans="1:14" ht="14.25" x14ac:dyDescent="0.2">
      <c r="A52" s="48" t="s">
        <v>109</v>
      </c>
      <c r="B52" s="49">
        <v>85000</v>
      </c>
      <c r="C52" s="77">
        <f>SUM(102752.1-32578.43)</f>
        <v>70173.670000000013</v>
      </c>
      <c r="D52" s="49">
        <f>SUM(231000-130000)</f>
        <v>101000</v>
      </c>
      <c r="E52" s="49">
        <f>SUM(241000-140000)</f>
        <v>101000</v>
      </c>
      <c r="F52" s="49">
        <v>0</v>
      </c>
      <c r="G52" s="77">
        <f t="shared" si="21"/>
        <v>101000</v>
      </c>
      <c r="H52" s="49"/>
      <c r="I52" s="41">
        <f t="shared" si="1"/>
        <v>0.18823529411764706</v>
      </c>
      <c r="J52" s="41">
        <f t="shared" si="1"/>
        <v>0.43928627361231043</v>
      </c>
      <c r="K52" s="49">
        <f t="shared" si="22"/>
        <v>106050</v>
      </c>
      <c r="L52" s="49">
        <f t="shared" si="23"/>
        <v>0</v>
      </c>
      <c r="M52" s="49">
        <f t="shared" si="24"/>
        <v>111100.00000000001</v>
      </c>
      <c r="N52" s="49">
        <f t="shared" si="25"/>
        <v>0</v>
      </c>
    </row>
    <row r="53" spans="1:14" ht="14.25" x14ac:dyDescent="0.2">
      <c r="A53" s="48" t="s">
        <v>120</v>
      </c>
      <c r="B53" s="49">
        <v>45000</v>
      </c>
      <c r="C53" s="77">
        <v>48747.29</v>
      </c>
      <c r="D53" s="49">
        <f>SUM('Plan 2025.'!C93)</f>
        <v>47000</v>
      </c>
      <c r="E53" s="49">
        <v>47000</v>
      </c>
      <c r="F53" s="49">
        <v>0</v>
      </c>
      <c r="G53" s="77">
        <f t="shared" si="21"/>
        <v>47000</v>
      </c>
      <c r="H53" s="49">
        <v>4200</v>
      </c>
      <c r="I53" s="41">
        <f t="shared" si="1"/>
        <v>4.4444444444444509E-2</v>
      </c>
      <c r="J53" s="41">
        <f t="shared" si="1"/>
        <v>-3.5843838703648934E-2</v>
      </c>
      <c r="K53" s="49">
        <f t="shared" si="22"/>
        <v>49350</v>
      </c>
      <c r="L53" s="49">
        <f t="shared" si="23"/>
        <v>4410</v>
      </c>
      <c r="M53" s="49">
        <f t="shared" si="24"/>
        <v>51700.000000000007</v>
      </c>
      <c r="N53" s="49">
        <f t="shared" si="25"/>
        <v>4620</v>
      </c>
    </row>
    <row r="54" spans="1:14" ht="14.25" x14ac:dyDescent="0.2">
      <c r="A54" s="48" t="s">
        <v>125</v>
      </c>
      <c r="B54" s="49">
        <v>14200</v>
      </c>
      <c r="C54" s="77">
        <v>15355.84</v>
      </c>
      <c r="D54" s="49">
        <f>SUM('Plan 2025.'!C98)</f>
        <v>16000</v>
      </c>
      <c r="E54" s="49">
        <v>16000</v>
      </c>
      <c r="F54" s="49">
        <v>0</v>
      </c>
      <c r="G54" s="77">
        <f t="shared" si="21"/>
        <v>16000</v>
      </c>
      <c r="H54" s="49">
        <v>1400</v>
      </c>
      <c r="I54" s="41">
        <f t="shared" si="1"/>
        <v>0.12676056338028174</v>
      </c>
      <c r="J54" s="41">
        <f t="shared" si="1"/>
        <v>4.1948861149894823E-2</v>
      </c>
      <c r="K54" s="49">
        <f t="shared" si="22"/>
        <v>16800</v>
      </c>
      <c r="L54" s="49">
        <f t="shared" si="23"/>
        <v>1470</v>
      </c>
      <c r="M54" s="49">
        <f t="shared" si="24"/>
        <v>17600</v>
      </c>
      <c r="N54" s="49">
        <f t="shared" si="25"/>
        <v>1540.0000000000002</v>
      </c>
    </row>
    <row r="55" spans="1:14" ht="14.25" x14ac:dyDescent="0.2">
      <c r="A55" s="48" t="s">
        <v>129</v>
      </c>
      <c r="B55" s="49">
        <v>41000</v>
      </c>
      <c r="C55" s="77">
        <v>38929.94</v>
      </c>
      <c r="D55" s="49">
        <v>47000</v>
      </c>
      <c r="E55" s="49">
        <v>53000</v>
      </c>
      <c r="F55" s="49">
        <v>0</v>
      </c>
      <c r="G55" s="77">
        <f t="shared" si="21"/>
        <v>53000</v>
      </c>
      <c r="H55" s="49"/>
      <c r="I55" s="41">
        <f t="shared" si="1"/>
        <v>0.29268292682926833</v>
      </c>
      <c r="J55" s="41">
        <f t="shared" si="1"/>
        <v>0.36142002787571714</v>
      </c>
      <c r="K55" s="49">
        <f t="shared" si="22"/>
        <v>49350</v>
      </c>
      <c r="L55" s="49">
        <f t="shared" si="23"/>
        <v>0</v>
      </c>
      <c r="M55" s="49">
        <f t="shared" si="24"/>
        <v>51700.000000000007</v>
      </c>
      <c r="N55" s="49">
        <f t="shared" si="25"/>
        <v>0</v>
      </c>
    </row>
    <row r="56" spans="1:14" x14ac:dyDescent="0.25">
      <c r="A56" s="46" t="s">
        <v>138</v>
      </c>
      <c r="B56" s="47">
        <v>50000</v>
      </c>
      <c r="C56" s="47">
        <v>83451.55</v>
      </c>
      <c r="D56" s="56">
        <f>SUM('Plan 2025.'!C115)</f>
        <v>44000</v>
      </c>
      <c r="E56" s="56">
        <v>44000</v>
      </c>
      <c r="F56" s="47">
        <v>6000</v>
      </c>
      <c r="G56" s="47">
        <f>SUM(E56:F56)</f>
        <v>50000</v>
      </c>
      <c r="H56" s="47">
        <v>4000</v>
      </c>
      <c r="I56" s="53">
        <f t="shared" si="1"/>
        <v>0</v>
      </c>
      <c r="J56" s="53">
        <f t="shared" si="1"/>
        <v>-0.400849954254894</v>
      </c>
      <c r="K56" s="47">
        <f>SUM(D56)*105%</f>
        <v>46200</v>
      </c>
      <c r="L56" s="47">
        <f>SUM(H56)*105%</f>
        <v>4200</v>
      </c>
      <c r="M56" s="47">
        <f>SUM(D56)*110%</f>
        <v>48400.000000000007</v>
      </c>
      <c r="N56" s="47">
        <f>SUM(H56)*110%</f>
        <v>4400</v>
      </c>
    </row>
    <row r="57" spans="1:14" x14ac:dyDescent="0.25">
      <c r="A57" s="46" t="s">
        <v>139</v>
      </c>
      <c r="B57" s="47">
        <v>655000</v>
      </c>
      <c r="C57" s="47">
        <v>648082.81000000006</v>
      </c>
      <c r="D57" s="56">
        <f>SUM('Plan 2025.'!C116)</f>
        <v>800000</v>
      </c>
      <c r="E57" s="56">
        <v>800000</v>
      </c>
      <c r="F57" s="47">
        <v>30000</v>
      </c>
      <c r="G57" s="47">
        <f>SUM(E57:F57)</f>
        <v>830000</v>
      </c>
      <c r="H57" s="47">
        <v>70000</v>
      </c>
      <c r="I57" s="53">
        <f t="shared" si="1"/>
        <v>0.26717557251908386</v>
      </c>
      <c r="J57" s="53">
        <f t="shared" si="1"/>
        <v>0.28070053269889983</v>
      </c>
      <c r="K57" s="47">
        <f>SUM(D57)*105%-4000</f>
        <v>836000</v>
      </c>
      <c r="L57" s="47">
        <f>SUM(H57)*105%</f>
        <v>73500</v>
      </c>
      <c r="M57" s="47">
        <f>SUM(D57)*110%</f>
        <v>880000.00000000012</v>
      </c>
      <c r="N57" s="47">
        <f>SUM(H57)*110%-2000</f>
        <v>75000</v>
      </c>
    </row>
    <row r="58" spans="1:14" x14ac:dyDescent="0.25">
      <c r="A58" s="46" t="s">
        <v>140</v>
      </c>
      <c r="B58" s="47">
        <v>146500</v>
      </c>
      <c r="C58" s="47">
        <f t="shared" ref="C58" si="26">SUM(C59:C61)</f>
        <v>148275.32999999999</v>
      </c>
      <c r="D58" s="56">
        <f t="shared" ref="D58:H58" si="27">SUM(D59:D61)</f>
        <v>155800</v>
      </c>
      <c r="E58" s="56">
        <f t="shared" si="27"/>
        <v>155800</v>
      </c>
      <c r="F58" s="47">
        <f t="shared" si="27"/>
        <v>0</v>
      </c>
      <c r="G58" s="47">
        <f t="shared" si="27"/>
        <v>155800</v>
      </c>
      <c r="H58" s="47">
        <f t="shared" si="27"/>
        <v>15600</v>
      </c>
      <c r="I58" s="53">
        <f t="shared" si="1"/>
        <v>6.3481228668941903E-2</v>
      </c>
      <c r="J58" s="53">
        <f t="shared" si="1"/>
        <v>5.0747956521155713E-2</v>
      </c>
      <c r="K58" s="47">
        <f>SUM(K59:K61)</f>
        <v>163590</v>
      </c>
      <c r="L58" s="47">
        <f t="shared" ref="L58:N58" si="28">SUM(L59:L61)</f>
        <v>16380</v>
      </c>
      <c r="M58" s="47">
        <f t="shared" si="28"/>
        <v>171380</v>
      </c>
      <c r="N58" s="47">
        <f t="shared" si="28"/>
        <v>17160.000000000004</v>
      </c>
    </row>
    <row r="59" spans="1:14" ht="14.25" x14ac:dyDescent="0.2">
      <c r="A59" s="48" t="s">
        <v>141</v>
      </c>
      <c r="B59" s="49">
        <v>16000</v>
      </c>
      <c r="C59" s="77">
        <v>17991.21</v>
      </c>
      <c r="D59" s="49">
        <f>SUM('Plan 2025.'!C118)</f>
        <v>19200</v>
      </c>
      <c r="E59" s="49">
        <v>19200</v>
      </c>
      <c r="F59" s="49">
        <v>0</v>
      </c>
      <c r="G59" s="77">
        <f>SUM(E59:F59)</f>
        <v>19200</v>
      </c>
      <c r="H59" s="49">
        <v>1800</v>
      </c>
      <c r="I59" s="41">
        <f t="shared" si="1"/>
        <v>0.19999999999999996</v>
      </c>
      <c r="J59" s="41">
        <f t="shared" si="1"/>
        <v>6.7187810047239838E-2</v>
      </c>
      <c r="K59" s="49">
        <f>SUM(D59)*105%</f>
        <v>20160</v>
      </c>
      <c r="L59" s="49">
        <f>SUM(H59)*105%</f>
        <v>1890</v>
      </c>
      <c r="M59" s="49">
        <f>SUM(D59)*110%</f>
        <v>21120</v>
      </c>
      <c r="N59" s="49">
        <f>SUM(H59)*110%</f>
        <v>1980.0000000000002</v>
      </c>
    </row>
    <row r="60" spans="1:14" ht="14.25" x14ac:dyDescent="0.2">
      <c r="A60" s="48" t="s">
        <v>142</v>
      </c>
      <c r="B60" s="49">
        <v>20000</v>
      </c>
      <c r="C60" s="77">
        <v>20088.419999999998</v>
      </c>
      <c r="D60" s="49">
        <f>SUM('Plan 2025.'!C119)</f>
        <v>20000</v>
      </c>
      <c r="E60" s="49">
        <v>20000</v>
      </c>
      <c r="F60" s="49">
        <v>0</v>
      </c>
      <c r="G60" s="77">
        <f t="shared" ref="G60:G61" si="29">SUM(E60:F60)</f>
        <v>20000</v>
      </c>
      <c r="H60" s="49">
        <f t="shared" ref="H60" si="30">SUM(D60*0.09)</f>
        <v>1800</v>
      </c>
      <c r="I60" s="41">
        <f t="shared" si="1"/>
        <v>0</v>
      </c>
      <c r="J60" s="41">
        <f t="shared" si="1"/>
        <v>-4.4015407881753399E-3</v>
      </c>
      <c r="K60" s="49">
        <f t="shared" ref="K60:K61" si="31">SUM(D60)*105%</f>
        <v>21000</v>
      </c>
      <c r="L60" s="49">
        <f t="shared" ref="L60:L61" si="32">SUM(H60)*105%</f>
        <v>1890</v>
      </c>
      <c r="M60" s="49">
        <f t="shared" ref="M60:M61" si="33">SUM(D60)*110%</f>
        <v>22000</v>
      </c>
      <c r="N60" s="49">
        <f t="shared" ref="N60:N61" si="34">SUM(H60)*110%</f>
        <v>1980.0000000000002</v>
      </c>
    </row>
    <row r="61" spans="1:14" ht="14.25" x14ac:dyDescent="0.2">
      <c r="A61" s="48" t="s">
        <v>145</v>
      </c>
      <c r="B61" s="49">
        <v>110500</v>
      </c>
      <c r="C61" s="77">
        <v>110195.7</v>
      </c>
      <c r="D61" s="49">
        <f>SUM('Plan 2025.'!C122)</f>
        <v>116600</v>
      </c>
      <c r="E61" s="49">
        <v>116600</v>
      </c>
      <c r="F61" s="49">
        <v>0</v>
      </c>
      <c r="G61" s="77">
        <f t="shared" si="29"/>
        <v>116600</v>
      </c>
      <c r="H61" s="49">
        <v>12000</v>
      </c>
      <c r="I61" s="41">
        <f t="shared" si="1"/>
        <v>5.5203619909502288E-2</v>
      </c>
      <c r="J61" s="41">
        <f t="shared" si="1"/>
        <v>5.8117512752312583E-2</v>
      </c>
      <c r="K61" s="49">
        <f t="shared" si="31"/>
        <v>122430</v>
      </c>
      <c r="L61" s="49">
        <f t="shared" si="32"/>
        <v>12600</v>
      </c>
      <c r="M61" s="49">
        <f t="shared" si="33"/>
        <v>128260.00000000001</v>
      </c>
      <c r="N61" s="49">
        <f t="shared" si="34"/>
        <v>13200.000000000002</v>
      </c>
    </row>
    <row r="62" spans="1:14" x14ac:dyDescent="0.25">
      <c r="A62" s="46" t="s">
        <v>161</v>
      </c>
      <c r="B62" s="47">
        <v>4300</v>
      </c>
      <c r="C62" s="47">
        <f t="shared" ref="C62" si="35">SUM(C63:C65)</f>
        <v>3825.57</v>
      </c>
      <c r="D62" s="56">
        <f>SUM(D63:D65)</f>
        <v>14000</v>
      </c>
      <c r="E62" s="56">
        <f>SUM(E63:E65)</f>
        <v>14000</v>
      </c>
      <c r="F62" s="47">
        <f t="shared" ref="F62:H62" si="36">SUM(F63:F65)</f>
        <v>0</v>
      </c>
      <c r="G62" s="47">
        <f t="shared" si="36"/>
        <v>14000</v>
      </c>
      <c r="H62" s="47">
        <f t="shared" si="36"/>
        <v>0</v>
      </c>
      <c r="I62" s="53">
        <f t="shared" si="1"/>
        <v>2.2558139534883721</v>
      </c>
      <c r="J62" s="53">
        <f t="shared" si="1"/>
        <v>2.6595853689776945</v>
      </c>
      <c r="K62" s="47">
        <f t="shared" ref="K62:N62" si="37">SUM(K63:K65)</f>
        <v>15000</v>
      </c>
      <c r="L62" s="47">
        <f t="shared" si="37"/>
        <v>0</v>
      </c>
      <c r="M62" s="47">
        <f t="shared" si="37"/>
        <v>13500</v>
      </c>
      <c r="N62" s="47">
        <f t="shared" si="37"/>
        <v>0</v>
      </c>
    </row>
    <row r="63" spans="1:14" ht="43.5" customHeight="1" x14ac:dyDescent="0.2">
      <c r="A63" s="51" t="s">
        <v>202</v>
      </c>
      <c r="B63" s="38">
        <v>3300</v>
      </c>
      <c r="C63" s="78">
        <v>3234.46</v>
      </c>
      <c r="D63" s="38">
        <f>SUM('Plan 2025.'!C138)</f>
        <v>6000</v>
      </c>
      <c r="E63" s="38">
        <v>6000</v>
      </c>
      <c r="F63" s="38">
        <v>0</v>
      </c>
      <c r="G63" s="78">
        <f>SUM(E63:F63)</f>
        <v>6000</v>
      </c>
      <c r="H63" s="38"/>
      <c r="I63" s="41">
        <f t="shared" si="1"/>
        <v>0.81818181818181812</v>
      </c>
      <c r="J63" s="41">
        <f t="shared" si="1"/>
        <v>0.85502371338646954</v>
      </c>
      <c r="K63" s="38">
        <v>6000</v>
      </c>
      <c r="L63" s="38"/>
      <c r="M63" s="38">
        <v>6000</v>
      </c>
      <c r="N63" s="38"/>
    </row>
    <row r="64" spans="1:14" ht="44.25" customHeight="1" x14ac:dyDescent="0.2">
      <c r="A64" s="51" t="s">
        <v>205</v>
      </c>
      <c r="B64" s="38">
        <v>0</v>
      </c>
      <c r="C64" s="78">
        <v>0</v>
      </c>
      <c r="D64" s="38">
        <f>SUM('Plan 2025.'!C139)</f>
        <v>6000</v>
      </c>
      <c r="E64" s="38">
        <v>6000</v>
      </c>
      <c r="F64" s="38">
        <v>0</v>
      </c>
      <c r="G64" s="78">
        <f t="shared" ref="G64:G65" si="38">SUM(E64:F64)</f>
        <v>6000</v>
      </c>
      <c r="H64" s="38"/>
      <c r="I64" s="41" t="str">
        <f t="shared" si="1"/>
        <v>-</v>
      </c>
      <c r="J64" s="41" t="str">
        <f t="shared" si="1"/>
        <v>-</v>
      </c>
      <c r="K64" s="38">
        <v>6000</v>
      </c>
      <c r="L64" s="38"/>
      <c r="M64" s="38">
        <v>4500</v>
      </c>
      <c r="N64" s="38"/>
    </row>
    <row r="65" spans="1:14" ht="28.5" x14ac:dyDescent="0.2">
      <c r="A65" s="52" t="s">
        <v>197</v>
      </c>
      <c r="B65" s="38">
        <v>1000</v>
      </c>
      <c r="C65" s="78">
        <v>591.11</v>
      </c>
      <c r="D65" s="38">
        <f>SUM('Plan 2025.'!C140)</f>
        <v>2000</v>
      </c>
      <c r="E65" s="38">
        <v>2000</v>
      </c>
      <c r="F65" s="38">
        <v>0</v>
      </c>
      <c r="G65" s="78">
        <f t="shared" si="38"/>
        <v>2000</v>
      </c>
      <c r="H65" s="38"/>
      <c r="I65" s="41">
        <f t="shared" si="1"/>
        <v>1</v>
      </c>
      <c r="J65" s="41">
        <f t="shared" si="1"/>
        <v>2.3834650065131702</v>
      </c>
      <c r="K65" s="38">
        <v>3000</v>
      </c>
      <c r="L65" s="38"/>
      <c r="M65" s="38">
        <v>3000</v>
      </c>
      <c r="N65" s="38"/>
    </row>
    <row r="66" spans="1:14" x14ac:dyDescent="0.25">
      <c r="A66" s="46" t="s">
        <v>166</v>
      </c>
      <c r="B66" s="47">
        <v>1385000</v>
      </c>
      <c r="C66" s="47">
        <f t="shared" ref="C66" si="39">SUM(C40)</f>
        <v>1306749.2599999998</v>
      </c>
      <c r="D66" s="47">
        <f t="shared" ref="D66:H66" si="40">SUM(D40)</f>
        <v>1535000.1</v>
      </c>
      <c r="E66" s="47">
        <f t="shared" si="40"/>
        <v>1556000</v>
      </c>
      <c r="F66" s="47">
        <f t="shared" si="40"/>
        <v>37000</v>
      </c>
      <c r="G66" s="47">
        <f t="shared" si="40"/>
        <v>1593000</v>
      </c>
      <c r="H66" s="47">
        <f t="shared" si="40"/>
        <v>132000</v>
      </c>
      <c r="I66" s="53">
        <f t="shared" si="1"/>
        <v>0.15018050541516237</v>
      </c>
      <c r="J66" s="53">
        <f t="shared" si="1"/>
        <v>0.21905559755205095</v>
      </c>
      <c r="K66" s="47">
        <f>SUM(K40)</f>
        <v>1611750.105</v>
      </c>
      <c r="L66" s="47">
        <f>SUM(L40)</f>
        <v>141500</v>
      </c>
      <c r="M66" s="47">
        <f>SUM(M40)</f>
        <v>1688500.11</v>
      </c>
      <c r="N66" s="47">
        <f>SUM(N40)</f>
        <v>148250</v>
      </c>
    </row>
    <row r="67" spans="1:14" x14ac:dyDescent="0.25">
      <c r="A67" s="46" t="s">
        <v>167</v>
      </c>
      <c r="B67" s="47">
        <v>1372800</v>
      </c>
      <c r="C67" s="47">
        <f t="shared" ref="C67:H67" si="41">SUM(C43+C49+C56+C57+C58+C62)</f>
        <v>1274275.4600000002</v>
      </c>
      <c r="D67" s="47">
        <f t="shared" si="41"/>
        <v>1532200</v>
      </c>
      <c r="E67" s="47">
        <f t="shared" si="41"/>
        <v>1554200</v>
      </c>
      <c r="F67" s="47">
        <f t="shared" si="41"/>
        <v>36000</v>
      </c>
      <c r="G67" s="47">
        <f t="shared" si="41"/>
        <v>1590200</v>
      </c>
      <c r="H67" s="47">
        <f t="shared" si="41"/>
        <v>128800</v>
      </c>
      <c r="I67" s="53">
        <f t="shared" si="1"/>
        <v>0.15836247086247091</v>
      </c>
      <c r="J67" s="53">
        <f t="shared" si="1"/>
        <v>0.2479248403637937</v>
      </c>
      <c r="K67" s="47">
        <f>SUM(K62+K58+K57+K56+K49+K43)</f>
        <v>1605110</v>
      </c>
      <c r="L67" s="47">
        <f t="shared" ref="L67:N67" si="42">SUM(L62+L58+L57+L56+L49+L43)</f>
        <v>135240</v>
      </c>
      <c r="M67" s="47">
        <f t="shared" si="42"/>
        <v>1683520</v>
      </c>
      <c r="N67" s="47">
        <f t="shared" si="42"/>
        <v>139680</v>
      </c>
    </row>
    <row r="68" spans="1:14" x14ac:dyDescent="0.25">
      <c r="A68" s="46" t="s">
        <v>168</v>
      </c>
      <c r="B68" s="47">
        <v>12200</v>
      </c>
      <c r="C68" s="47">
        <f t="shared" ref="C68" si="43">SUM(C66-C67)</f>
        <v>32473.799999999581</v>
      </c>
      <c r="D68" s="47">
        <f t="shared" ref="D68:H68" si="44">SUM(D66-D67)</f>
        <v>2800.1000000000931</v>
      </c>
      <c r="E68" s="47">
        <f t="shared" si="44"/>
        <v>1800</v>
      </c>
      <c r="F68" s="47">
        <f t="shared" si="44"/>
        <v>1000</v>
      </c>
      <c r="G68" s="47">
        <f t="shared" si="44"/>
        <v>2800</v>
      </c>
      <c r="H68" s="47">
        <f t="shared" si="44"/>
        <v>3200</v>
      </c>
      <c r="I68" s="53">
        <f t="shared" si="1"/>
        <v>-0.77049180327868849</v>
      </c>
      <c r="J68" s="53">
        <f t="shared" si="1"/>
        <v>-0.91377664455653373</v>
      </c>
      <c r="K68" s="47">
        <f t="shared" ref="K68:N68" si="45">SUM(K66-K67)</f>
        <v>6640.1049999999814</v>
      </c>
      <c r="L68" s="47">
        <f t="shared" si="45"/>
        <v>6260</v>
      </c>
      <c r="M68" s="47">
        <f t="shared" si="45"/>
        <v>4980.1100000001024</v>
      </c>
      <c r="N68" s="47">
        <f t="shared" si="45"/>
        <v>8570</v>
      </c>
    </row>
    <row r="70" spans="1:14" x14ac:dyDescent="0.2">
      <c r="A70" s="16" t="s">
        <v>203</v>
      </c>
    </row>
    <row r="71" spans="1:14" x14ac:dyDescent="0.2">
      <c r="A71" s="16" t="s">
        <v>226</v>
      </c>
    </row>
    <row r="72" spans="1:14" x14ac:dyDescent="0.2">
      <c r="A72" s="16" t="s">
        <v>235</v>
      </c>
    </row>
    <row r="74" spans="1:14" x14ac:dyDescent="0.2">
      <c r="A74" s="66"/>
      <c r="B74" s="25"/>
      <c r="C74" s="25"/>
    </row>
    <row r="75" spans="1:14" x14ac:dyDescent="0.2">
      <c r="A75" s="66"/>
      <c r="B75" s="25"/>
      <c r="C75" s="25"/>
    </row>
    <row r="76" spans="1:14" x14ac:dyDescent="0.2">
      <c r="A76" s="25"/>
      <c r="B76" s="25"/>
      <c r="C76" s="25"/>
    </row>
  </sheetData>
  <mergeCells count="2">
    <mergeCell ref="A1:N1"/>
    <mergeCell ref="A2:N2"/>
  </mergeCells>
  <printOptions horizontalCentered="1" verticalCentered="1"/>
  <pageMargins left="0" right="0" top="0" bottom="0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4C2E3-ECC9-4ADC-8ADA-F21A52900231}">
  <dimension ref="A1:G151"/>
  <sheetViews>
    <sheetView workbookViewId="0">
      <selection activeCell="C135" sqref="C135"/>
    </sheetView>
  </sheetViews>
  <sheetFormatPr defaultColWidth="20.28515625" defaultRowHeight="15" x14ac:dyDescent="0.2"/>
  <cols>
    <col min="1" max="1" width="64.140625" style="16" customWidth="1"/>
    <col min="2" max="2" width="17" style="16" customWidth="1"/>
    <col min="3" max="3" width="14.5703125" style="19" bestFit="1" customWidth="1"/>
    <col min="4" max="4" width="12.42578125" style="19" customWidth="1"/>
    <col min="5" max="5" width="14.5703125" style="19" bestFit="1" customWidth="1"/>
    <col min="6" max="8" width="20.28515625" style="11" customWidth="1"/>
    <col min="9" max="16384" width="20.28515625" style="11"/>
  </cols>
  <sheetData>
    <row r="1" spans="1:7" s="8" customFormat="1" ht="15.75" customHeight="1" x14ac:dyDescent="0.25">
      <c r="A1" s="29"/>
      <c r="B1" s="29"/>
      <c r="C1" s="29"/>
      <c r="D1" s="29"/>
      <c r="E1" s="29"/>
    </row>
    <row r="2" spans="1:7" s="8" customFormat="1" ht="15.75" x14ac:dyDescent="0.25">
      <c r="A2" s="86" t="s">
        <v>215</v>
      </c>
      <c r="B2" s="86"/>
      <c r="C2" s="86"/>
      <c r="D2" s="86"/>
      <c r="E2" s="86"/>
    </row>
    <row r="3" spans="1:7" s="9" customFormat="1" ht="42" customHeight="1" x14ac:dyDescent="0.2">
      <c r="A3" s="30" t="s">
        <v>48</v>
      </c>
      <c r="B3" s="33" t="s">
        <v>216</v>
      </c>
      <c r="C3" s="33" t="s">
        <v>207</v>
      </c>
      <c r="D3" s="33" t="s">
        <v>206</v>
      </c>
      <c r="E3" s="33" t="s">
        <v>214</v>
      </c>
      <c r="G3" s="57" t="s">
        <v>209</v>
      </c>
    </row>
    <row r="4" spans="1:7" s="9" customFormat="1" ht="12.75" x14ac:dyDescent="0.2">
      <c r="A4" s="30"/>
      <c r="B4" s="34"/>
      <c r="C4" s="34"/>
      <c r="D4" s="34"/>
      <c r="E4" s="34" t="s">
        <v>208</v>
      </c>
      <c r="G4" s="58"/>
    </row>
    <row r="5" spans="1:7" x14ac:dyDescent="0.2">
      <c r="A5" s="24" t="s">
        <v>49</v>
      </c>
      <c r="B5" s="18">
        <v>55000</v>
      </c>
      <c r="C5" s="18">
        <v>55000</v>
      </c>
      <c r="D5" s="18"/>
      <c r="E5" s="18">
        <f>SUM(C5:D5)</f>
        <v>55000</v>
      </c>
      <c r="F5" s="83">
        <f>C5-E5</f>
        <v>0</v>
      </c>
      <c r="G5" s="59">
        <v>50243.37</v>
      </c>
    </row>
    <row r="6" spans="1:7" x14ac:dyDescent="0.2">
      <c r="A6" s="10" t="s">
        <v>172</v>
      </c>
      <c r="B6" s="18">
        <v>8000</v>
      </c>
      <c r="C6" s="80">
        <v>20000</v>
      </c>
      <c r="D6" s="18"/>
      <c r="E6" s="18">
        <f t="shared" ref="E6:E32" si="0">SUM(C6:D6)</f>
        <v>20000</v>
      </c>
      <c r="F6" s="83">
        <f t="shared" ref="F6:F69" si="1">C6-E6</f>
        <v>0</v>
      </c>
      <c r="G6" s="59">
        <v>19196.240000000002</v>
      </c>
    </row>
    <row r="7" spans="1:7" ht="26.45" customHeight="1" x14ac:dyDescent="0.2">
      <c r="A7" s="24" t="s">
        <v>191</v>
      </c>
      <c r="B7" s="18">
        <v>35000</v>
      </c>
      <c r="C7" s="18">
        <v>35000</v>
      </c>
      <c r="D7" s="18"/>
      <c r="E7" s="18">
        <f t="shared" si="0"/>
        <v>35000</v>
      </c>
      <c r="F7" s="83">
        <f t="shared" si="1"/>
        <v>0</v>
      </c>
      <c r="G7" s="59">
        <v>30931.27</v>
      </c>
    </row>
    <row r="8" spans="1:7" x14ac:dyDescent="0.2">
      <c r="A8" s="10" t="s">
        <v>50</v>
      </c>
      <c r="B8" s="18">
        <v>500000</v>
      </c>
      <c r="C8" s="80">
        <v>500000</v>
      </c>
      <c r="D8" s="18">
        <v>50000</v>
      </c>
      <c r="E8" s="18">
        <f t="shared" si="0"/>
        <v>550000</v>
      </c>
      <c r="F8" s="83">
        <f t="shared" si="1"/>
        <v>-50000</v>
      </c>
      <c r="G8" s="59">
        <v>501749.32</v>
      </c>
    </row>
    <row r="9" spans="1:7" hidden="1" x14ac:dyDescent="0.2">
      <c r="A9" s="24" t="s">
        <v>51</v>
      </c>
      <c r="B9" s="18">
        <v>0</v>
      </c>
      <c r="C9" s="18">
        <v>0</v>
      </c>
      <c r="D9" s="18"/>
      <c r="E9" s="18">
        <f t="shared" si="0"/>
        <v>0</v>
      </c>
      <c r="F9" s="83">
        <f t="shared" si="1"/>
        <v>0</v>
      </c>
      <c r="G9" s="59">
        <v>403.36</v>
      </c>
    </row>
    <row r="10" spans="1:7" x14ac:dyDescent="0.2">
      <c r="A10" s="24" t="s">
        <v>52</v>
      </c>
      <c r="B10" s="18">
        <v>150000</v>
      </c>
      <c r="C10" s="80">
        <v>125000</v>
      </c>
      <c r="D10" s="18"/>
      <c r="E10" s="18">
        <f t="shared" si="0"/>
        <v>125000</v>
      </c>
      <c r="F10" s="83">
        <f t="shared" si="1"/>
        <v>0</v>
      </c>
      <c r="G10" s="59">
        <v>127406.7</v>
      </c>
    </row>
    <row r="11" spans="1:7" x14ac:dyDescent="0.2">
      <c r="A11" s="10" t="s">
        <v>53</v>
      </c>
      <c r="B11" s="18">
        <v>27000</v>
      </c>
      <c r="C11" s="18">
        <v>27000</v>
      </c>
      <c r="D11" s="18"/>
      <c r="E11" s="18">
        <f t="shared" si="0"/>
        <v>27000</v>
      </c>
      <c r="F11" s="83">
        <f t="shared" si="1"/>
        <v>0</v>
      </c>
      <c r="G11" s="59">
        <v>13986</v>
      </c>
    </row>
    <row r="12" spans="1:7" x14ac:dyDescent="0.2">
      <c r="A12" s="24" t="s">
        <v>54</v>
      </c>
      <c r="B12" s="18">
        <v>6000</v>
      </c>
      <c r="C12" s="80">
        <v>2000</v>
      </c>
      <c r="D12" s="18"/>
      <c r="E12" s="18">
        <f t="shared" si="0"/>
        <v>2000</v>
      </c>
      <c r="F12" s="83">
        <f t="shared" si="1"/>
        <v>0</v>
      </c>
      <c r="G12" s="59"/>
    </row>
    <row r="13" spans="1:7" x14ac:dyDescent="0.2">
      <c r="A13" s="24" t="s">
        <v>55</v>
      </c>
      <c r="B13" s="18">
        <v>25000</v>
      </c>
      <c r="C13" s="18">
        <v>25000</v>
      </c>
      <c r="D13" s="18"/>
      <c r="E13" s="18">
        <f t="shared" si="0"/>
        <v>25000</v>
      </c>
      <c r="F13" s="83">
        <f t="shared" si="1"/>
        <v>0</v>
      </c>
      <c r="G13" s="59">
        <v>23036.62</v>
      </c>
    </row>
    <row r="14" spans="1:7" ht="25.5" x14ac:dyDescent="0.2">
      <c r="A14" s="24" t="s">
        <v>56</v>
      </c>
      <c r="B14" s="18">
        <v>10000</v>
      </c>
      <c r="C14" s="18">
        <v>10000</v>
      </c>
      <c r="D14" s="18"/>
      <c r="E14" s="18">
        <f t="shared" si="0"/>
        <v>10000</v>
      </c>
      <c r="F14" s="83">
        <f t="shared" si="1"/>
        <v>0</v>
      </c>
      <c r="G14" s="59"/>
    </row>
    <row r="15" spans="1:7" ht="16.5" customHeight="1" x14ac:dyDescent="0.2">
      <c r="A15" s="24" t="s">
        <v>57</v>
      </c>
      <c r="B15" s="18">
        <v>10000</v>
      </c>
      <c r="C15" s="18">
        <v>10000</v>
      </c>
      <c r="D15" s="18"/>
      <c r="E15" s="18">
        <f t="shared" si="0"/>
        <v>10000</v>
      </c>
      <c r="F15" s="83">
        <f t="shared" si="1"/>
        <v>0</v>
      </c>
      <c r="G15" s="59"/>
    </row>
    <row r="16" spans="1:7" x14ac:dyDescent="0.2">
      <c r="A16" s="24" t="s">
        <v>58</v>
      </c>
      <c r="B16" s="18">
        <v>135000</v>
      </c>
      <c r="C16" s="18">
        <v>150000</v>
      </c>
      <c r="D16" s="18"/>
      <c r="E16" s="18">
        <f t="shared" si="0"/>
        <v>150000</v>
      </c>
      <c r="F16" s="83">
        <f t="shared" si="1"/>
        <v>0</v>
      </c>
      <c r="G16" s="59">
        <v>50396.44</v>
      </c>
    </row>
    <row r="17" spans="1:7" x14ac:dyDescent="0.2">
      <c r="A17" s="24" t="s">
        <v>59</v>
      </c>
      <c r="B17" s="18">
        <v>10000</v>
      </c>
      <c r="C17" s="18">
        <v>10000</v>
      </c>
      <c r="D17" s="18"/>
      <c r="E17" s="18">
        <f t="shared" si="0"/>
        <v>10000</v>
      </c>
      <c r="F17" s="83">
        <f t="shared" si="1"/>
        <v>0</v>
      </c>
      <c r="G17" s="59"/>
    </row>
    <row r="18" spans="1:7" x14ac:dyDescent="0.2">
      <c r="A18" s="10" t="s">
        <v>60</v>
      </c>
      <c r="B18" s="18">
        <v>34000</v>
      </c>
      <c r="C18" s="18">
        <v>34000</v>
      </c>
      <c r="D18" s="18"/>
      <c r="E18" s="18">
        <f t="shared" si="0"/>
        <v>34000</v>
      </c>
      <c r="F18" s="83">
        <f t="shared" si="1"/>
        <v>0</v>
      </c>
      <c r="G18" s="59">
        <v>30173.14</v>
      </c>
    </row>
    <row r="19" spans="1:7" x14ac:dyDescent="0.2">
      <c r="A19" s="24" t="s">
        <v>61</v>
      </c>
      <c r="B19" s="18">
        <v>18000</v>
      </c>
      <c r="C19" s="18">
        <v>18000</v>
      </c>
      <c r="D19" s="18"/>
      <c r="E19" s="18">
        <f t="shared" si="0"/>
        <v>18000</v>
      </c>
      <c r="F19" s="83">
        <f t="shared" si="1"/>
        <v>0</v>
      </c>
      <c r="G19" s="59">
        <v>8150.25</v>
      </c>
    </row>
    <row r="20" spans="1:7" hidden="1" x14ac:dyDescent="0.2">
      <c r="A20" s="10" t="s">
        <v>62</v>
      </c>
      <c r="B20" s="18"/>
      <c r="C20" s="18"/>
      <c r="D20" s="18"/>
      <c r="E20" s="18">
        <f t="shared" si="0"/>
        <v>0</v>
      </c>
      <c r="F20" s="83">
        <f t="shared" si="1"/>
        <v>0</v>
      </c>
      <c r="G20" s="59"/>
    </row>
    <row r="21" spans="1:7" x14ac:dyDescent="0.2">
      <c r="A21" s="12" t="s">
        <v>173</v>
      </c>
      <c r="B21" s="18">
        <v>10000</v>
      </c>
      <c r="C21" s="80">
        <v>3500</v>
      </c>
      <c r="D21" s="18"/>
      <c r="E21" s="18">
        <f t="shared" si="0"/>
        <v>3500</v>
      </c>
      <c r="F21" s="83">
        <f t="shared" si="1"/>
        <v>0</v>
      </c>
      <c r="G21" s="59">
        <v>5780</v>
      </c>
    </row>
    <row r="22" spans="1:7" x14ac:dyDescent="0.2">
      <c r="A22" s="10" t="s">
        <v>192</v>
      </c>
      <c r="B22" s="18">
        <v>78000</v>
      </c>
      <c r="C22" s="18">
        <v>78000</v>
      </c>
      <c r="D22" s="18"/>
      <c r="E22" s="18">
        <f t="shared" si="0"/>
        <v>78000</v>
      </c>
      <c r="F22" s="83">
        <f t="shared" si="1"/>
        <v>0</v>
      </c>
      <c r="G22" s="59">
        <v>50377.23</v>
      </c>
    </row>
    <row r="23" spans="1:7" x14ac:dyDescent="0.2">
      <c r="A23" s="10" t="s">
        <v>63</v>
      </c>
      <c r="B23" s="18">
        <v>90000</v>
      </c>
      <c r="C23" s="18">
        <v>90000</v>
      </c>
      <c r="D23" s="18"/>
      <c r="E23" s="18">
        <f t="shared" si="0"/>
        <v>90000</v>
      </c>
      <c r="F23" s="83">
        <f t="shared" si="1"/>
        <v>0</v>
      </c>
      <c r="G23" s="59">
        <v>89678.41</v>
      </c>
    </row>
    <row r="24" spans="1:7" hidden="1" x14ac:dyDescent="0.2">
      <c r="A24" s="24" t="s">
        <v>64</v>
      </c>
      <c r="B24" s="18">
        <v>0</v>
      </c>
      <c r="C24" s="18">
        <v>0</v>
      </c>
      <c r="D24" s="18"/>
      <c r="E24" s="18">
        <f t="shared" si="0"/>
        <v>0</v>
      </c>
      <c r="F24" s="83">
        <f t="shared" si="1"/>
        <v>0</v>
      </c>
      <c r="G24" s="59"/>
    </row>
    <row r="25" spans="1:7" x14ac:dyDescent="0.2">
      <c r="A25" s="10" t="s">
        <v>65</v>
      </c>
      <c r="B25" s="18">
        <v>40000</v>
      </c>
      <c r="C25" s="18">
        <v>40000</v>
      </c>
      <c r="D25" s="18"/>
      <c r="E25" s="18">
        <f t="shared" si="0"/>
        <v>40000</v>
      </c>
      <c r="F25" s="83">
        <f t="shared" si="1"/>
        <v>0</v>
      </c>
      <c r="G25" s="59">
        <v>37555.620000000003</v>
      </c>
    </row>
    <row r="26" spans="1:7" x14ac:dyDescent="0.2">
      <c r="A26" s="10" t="s">
        <v>66</v>
      </c>
      <c r="B26" s="18">
        <v>2000</v>
      </c>
      <c r="C26" s="18">
        <v>2000</v>
      </c>
      <c r="D26" s="18"/>
      <c r="E26" s="18">
        <f t="shared" si="0"/>
        <v>2000</v>
      </c>
      <c r="F26" s="83">
        <f t="shared" si="1"/>
        <v>0</v>
      </c>
      <c r="G26" s="59">
        <v>1425.63</v>
      </c>
    </row>
    <row r="27" spans="1:7" x14ac:dyDescent="0.2">
      <c r="A27" s="10" t="s">
        <v>67</v>
      </c>
      <c r="B27" s="18">
        <v>28000</v>
      </c>
      <c r="C27" s="18">
        <v>28000</v>
      </c>
      <c r="D27" s="18"/>
      <c r="E27" s="18">
        <f t="shared" si="0"/>
        <v>28000</v>
      </c>
      <c r="F27" s="83">
        <f t="shared" si="1"/>
        <v>0</v>
      </c>
      <c r="G27" s="59">
        <v>22985.95</v>
      </c>
    </row>
    <row r="28" spans="1:7" x14ac:dyDescent="0.2">
      <c r="A28" s="10" t="s">
        <v>68</v>
      </c>
      <c r="B28" s="18">
        <v>32000</v>
      </c>
      <c r="C28" s="18">
        <v>32000</v>
      </c>
      <c r="D28" s="18"/>
      <c r="E28" s="18">
        <f t="shared" si="0"/>
        <v>32000</v>
      </c>
      <c r="F28" s="83">
        <f t="shared" si="1"/>
        <v>0</v>
      </c>
      <c r="G28" s="59">
        <v>28811.48</v>
      </c>
    </row>
    <row r="29" spans="1:7" x14ac:dyDescent="0.2">
      <c r="A29" s="10" t="s">
        <v>69</v>
      </c>
      <c r="B29" s="18">
        <v>105000</v>
      </c>
      <c r="C29" s="80">
        <v>115000</v>
      </c>
      <c r="D29" s="18">
        <v>7000</v>
      </c>
      <c r="E29" s="18">
        <f t="shared" si="0"/>
        <v>122000</v>
      </c>
      <c r="F29" s="83">
        <f t="shared" si="1"/>
        <v>-7000</v>
      </c>
      <c r="G29" s="59">
        <f>SUM(100784.75+11983.44)</f>
        <v>112768.19</v>
      </c>
    </row>
    <row r="30" spans="1:7" ht="16.5" customHeight="1" x14ac:dyDescent="0.2">
      <c r="A30" s="10" t="s">
        <v>70</v>
      </c>
      <c r="B30" s="18">
        <v>50000</v>
      </c>
      <c r="C30" s="18">
        <v>50000</v>
      </c>
      <c r="D30" s="18"/>
      <c r="E30" s="18">
        <f t="shared" si="0"/>
        <v>50000</v>
      </c>
      <c r="F30" s="83">
        <f t="shared" si="1"/>
        <v>0</v>
      </c>
      <c r="G30" s="59">
        <v>44509.22</v>
      </c>
    </row>
    <row r="31" spans="1:7" ht="12" customHeight="1" x14ac:dyDescent="0.2">
      <c r="A31" s="10" t="s">
        <v>182</v>
      </c>
      <c r="B31" s="18">
        <v>0</v>
      </c>
      <c r="C31" s="80">
        <v>0</v>
      </c>
      <c r="D31" s="18"/>
      <c r="E31" s="18">
        <f t="shared" si="0"/>
        <v>0</v>
      </c>
      <c r="F31" s="85" t="s">
        <v>234</v>
      </c>
      <c r="G31" s="59">
        <f>SUM(14644+1416+5762.38+1061.76)</f>
        <v>22884.14</v>
      </c>
    </row>
    <row r="32" spans="1:7" x14ac:dyDescent="0.2">
      <c r="A32" s="10" t="s">
        <v>180</v>
      </c>
      <c r="B32" s="18">
        <v>61000</v>
      </c>
      <c r="C32" s="80">
        <v>15000</v>
      </c>
      <c r="D32" s="18">
        <v>-20000</v>
      </c>
      <c r="E32" s="18">
        <f t="shared" si="0"/>
        <v>-5000</v>
      </c>
      <c r="F32" s="85">
        <f t="shared" si="1"/>
        <v>20000</v>
      </c>
      <c r="G32" s="59"/>
    </row>
    <row r="33" spans="1:7" s="8" customFormat="1" ht="15.75" x14ac:dyDescent="0.25">
      <c r="A33" s="31" t="s">
        <v>71</v>
      </c>
      <c r="B33" s="32">
        <f>SUM(B5:B32)</f>
        <v>1519000</v>
      </c>
      <c r="C33" s="32">
        <f>SUM(C5:C32)</f>
        <v>1474500</v>
      </c>
      <c r="D33" s="32">
        <f t="shared" ref="D33:E33" si="2">SUM(D5:D32)</f>
        <v>37000</v>
      </c>
      <c r="E33" s="32">
        <f t="shared" si="2"/>
        <v>1511500</v>
      </c>
      <c r="F33" s="83">
        <f t="shared" si="1"/>
        <v>-37000</v>
      </c>
      <c r="G33" s="60">
        <f>SUM(G5:G32)</f>
        <v>1272448.5799999996</v>
      </c>
    </row>
    <row r="34" spans="1:7" x14ac:dyDescent="0.2">
      <c r="A34" s="10" t="s">
        <v>174</v>
      </c>
      <c r="B34" s="18">
        <v>1000</v>
      </c>
      <c r="C34" s="18">
        <v>1000</v>
      </c>
      <c r="D34" s="18"/>
      <c r="E34" s="18">
        <f>SUM(C34:D34)</f>
        <v>1000</v>
      </c>
      <c r="F34" s="83">
        <f t="shared" si="1"/>
        <v>0</v>
      </c>
      <c r="G34" s="59">
        <v>1118.79</v>
      </c>
    </row>
    <row r="35" spans="1:7" x14ac:dyDescent="0.2">
      <c r="A35" s="10" t="s">
        <v>183</v>
      </c>
      <c r="B35" s="18">
        <v>1000</v>
      </c>
      <c r="C35" s="18">
        <v>1000</v>
      </c>
      <c r="D35" s="18"/>
      <c r="E35" s="18">
        <f t="shared" ref="E35:E39" si="3">SUM(C35:D35)</f>
        <v>1000</v>
      </c>
      <c r="F35" s="83">
        <f t="shared" si="1"/>
        <v>0</v>
      </c>
      <c r="G35" s="59"/>
    </row>
    <row r="36" spans="1:7" x14ac:dyDescent="0.2">
      <c r="A36" s="10" t="s">
        <v>72</v>
      </c>
      <c r="B36" s="18">
        <v>10000.1</v>
      </c>
      <c r="C36" s="18">
        <v>10000.1</v>
      </c>
      <c r="D36" s="18"/>
      <c r="E36" s="18">
        <f t="shared" si="3"/>
        <v>10000.1</v>
      </c>
      <c r="F36" s="83">
        <f t="shared" si="1"/>
        <v>0</v>
      </c>
      <c r="G36" s="59">
        <v>19100.919999999998</v>
      </c>
    </row>
    <row r="37" spans="1:7" x14ac:dyDescent="0.2">
      <c r="A37" s="10" t="s">
        <v>73</v>
      </c>
      <c r="B37" s="18">
        <v>1000</v>
      </c>
      <c r="C37" s="18">
        <v>1000</v>
      </c>
      <c r="D37" s="18"/>
      <c r="E37" s="18">
        <f t="shared" si="3"/>
        <v>1000</v>
      </c>
      <c r="F37" s="83">
        <f t="shared" si="1"/>
        <v>0</v>
      </c>
      <c r="G37" s="59">
        <f>SUM(6231.02)</f>
        <v>6231.02</v>
      </c>
    </row>
    <row r="38" spans="1:7" x14ac:dyDescent="0.2">
      <c r="A38" s="10" t="s">
        <v>177</v>
      </c>
      <c r="B38" s="18">
        <v>1000</v>
      </c>
      <c r="C38" s="18">
        <v>1000</v>
      </c>
      <c r="D38" s="18"/>
      <c r="E38" s="18">
        <f t="shared" si="3"/>
        <v>1000</v>
      </c>
      <c r="F38" s="83">
        <f t="shared" si="1"/>
        <v>0</v>
      </c>
      <c r="G38" s="59">
        <f>SUM(665.4+27+49.97)</f>
        <v>742.37</v>
      </c>
    </row>
    <row r="39" spans="1:7" x14ac:dyDescent="0.2">
      <c r="A39" s="10" t="s">
        <v>74</v>
      </c>
      <c r="B39" s="18">
        <v>2000</v>
      </c>
      <c r="C39" s="18">
        <v>2000</v>
      </c>
      <c r="D39" s="18"/>
      <c r="E39" s="18">
        <f t="shared" si="3"/>
        <v>2000</v>
      </c>
      <c r="F39" s="83">
        <f t="shared" si="1"/>
        <v>0</v>
      </c>
      <c r="G39" s="59">
        <v>7107.58</v>
      </c>
    </row>
    <row r="40" spans="1:7" s="8" customFormat="1" ht="15.75" x14ac:dyDescent="0.25">
      <c r="A40" s="31" t="s">
        <v>75</v>
      </c>
      <c r="B40" s="32">
        <f>SUM(B33:B39)</f>
        <v>1535000.1</v>
      </c>
      <c r="C40" s="32">
        <f>SUM(C33:C39)</f>
        <v>1490500.1</v>
      </c>
      <c r="D40" s="32">
        <f t="shared" ref="D40:E40" si="4">SUM(D33:D39)</f>
        <v>37000</v>
      </c>
      <c r="E40" s="32">
        <f t="shared" si="4"/>
        <v>1527500.1</v>
      </c>
      <c r="F40" s="83">
        <f t="shared" si="1"/>
        <v>-37000</v>
      </c>
      <c r="G40" s="60">
        <f>SUM(G33:G39)</f>
        <v>1306749.2599999998</v>
      </c>
    </row>
    <row r="41" spans="1:7" s="8" customFormat="1" ht="15.75" x14ac:dyDescent="0.25">
      <c r="A41" s="26"/>
      <c r="B41" s="27"/>
      <c r="C41" s="27"/>
      <c r="D41" s="27"/>
      <c r="E41" s="27"/>
      <c r="F41" s="83">
        <f t="shared" si="1"/>
        <v>0</v>
      </c>
      <c r="G41" s="27"/>
    </row>
    <row r="42" spans="1:7" s="9" customFormat="1" ht="51" x14ac:dyDescent="0.2">
      <c r="A42" s="30" t="s">
        <v>76</v>
      </c>
      <c r="B42" s="33" t="s">
        <v>216</v>
      </c>
      <c r="C42" s="33" t="s">
        <v>207</v>
      </c>
      <c r="D42" s="33" t="s">
        <v>206</v>
      </c>
      <c r="E42" s="33" t="s">
        <v>214</v>
      </c>
      <c r="F42" s="83" t="e">
        <f t="shared" si="1"/>
        <v>#VALUE!</v>
      </c>
      <c r="G42" s="57" t="s">
        <v>209</v>
      </c>
    </row>
    <row r="43" spans="1:7" s="8" customFormat="1" ht="12.75" x14ac:dyDescent="0.2">
      <c r="A43" s="31"/>
      <c r="B43" s="34"/>
      <c r="C43" s="34"/>
      <c r="D43" s="34"/>
      <c r="E43" s="34"/>
      <c r="F43" s="83">
        <f t="shared" si="1"/>
        <v>0</v>
      </c>
      <c r="G43" s="58"/>
    </row>
    <row r="44" spans="1:7" s="8" customFormat="1" ht="15.75" x14ac:dyDescent="0.25">
      <c r="A44" s="13" t="s">
        <v>77</v>
      </c>
      <c r="B44" s="20">
        <f>SUM(B45+B62+B67+B68+B74)</f>
        <v>164900</v>
      </c>
      <c r="C44" s="20">
        <f>SUM(C45+C62+C67+C68+C74)</f>
        <v>158900</v>
      </c>
      <c r="D44" s="20">
        <f t="shared" ref="D44:E44" si="5">SUM(D45+D62+D67+D68+D74)</f>
        <v>0</v>
      </c>
      <c r="E44" s="20">
        <f t="shared" si="5"/>
        <v>155900</v>
      </c>
      <c r="F44" s="83">
        <f t="shared" si="1"/>
        <v>3000</v>
      </c>
      <c r="G44" s="61">
        <f>SUM(G45+G62+G67+G68+G74)</f>
        <v>173496.31</v>
      </c>
    </row>
    <row r="45" spans="1:7" x14ac:dyDescent="0.2">
      <c r="A45" s="14" t="s">
        <v>78</v>
      </c>
      <c r="B45" s="21">
        <f>SUM(B46:B61)</f>
        <v>104500</v>
      </c>
      <c r="C45" s="21">
        <f>SUM(C46:C61)</f>
        <v>98000</v>
      </c>
      <c r="D45" s="21">
        <f t="shared" ref="D45:E45" si="6">SUM(D46:D61)</f>
        <v>0</v>
      </c>
      <c r="E45" s="21">
        <f t="shared" si="6"/>
        <v>98000</v>
      </c>
      <c r="F45" s="83">
        <f t="shared" si="1"/>
        <v>0</v>
      </c>
      <c r="G45" s="62">
        <f>SUM(G46:G61)</f>
        <v>111125.43999999999</v>
      </c>
    </row>
    <row r="46" spans="1:7" x14ac:dyDescent="0.2">
      <c r="A46" s="15" t="s">
        <v>79</v>
      </c>
      <c r="B46" s="23">
        <v>12000</v>
      </c>
      <c r="C46" s="23">
        <v>12000</v>
      </c>
      <c r="D46" s="23"/>
      <c r="E46" s="23">
        <f>SUM(C46:D46)</f>
        <v>12000</v>
      </c>
      <c r="F46" s="83">
        <f t="shared" si="1"/>
        <v>0</v>
      </c>
      <c r="G46" s="63">
        <v>16343.5</v>
      </c>
    </row>
    <row r="47" spans="1:7" x14ac:dyDescent="0.2">
      <c r="A47" s="15" t="s">
        <v>80</v>
      </c>
      <c r="B47" s="22">
        <v>1000</v>
      </c>
      <c r="C47" s="22">
        <v>1000</v>
      </c>
      <c r="D47" s="22"/>
      <c r="E47" s="23">
        <f t="shared" ref="E47:E61" si="7">SUM(C47:D47)</f>
        <v>1000</v>
      </c>
      <c r="F47" s="83">
        <f t="shared" si="1"/>
        <v>0</v>
      </c>
      <c r="G47" s="64">
        <v>852.1</v>
      </c>
    </row>
    <row r="48" spans="1:7" x14ac:dyDescent="0.2">
      <c r="A48" s="15" t="s">
        <v>81</v>
      </c>
      <c r="B48" s="22">
        <v>12000</v>
      </c>
      <c r="C48" s="22">
        <v>6000</v>
      </c>
      <c r="D48" s="22"/>
      <c r="E48" s="23">
        <f t="shared" si="7"/>
        <v>6000</v>
      </c>
      <c r="F48" s="83">
        <f t="shared" si="1"/>
        <v>0</v>
      </c>
      <c r="G48" s="63">
        <f>SUM(11644.63+956.14)</f>
        <v>12600.769999999999</v>
      </c>
    </row>
    <row r="49" spans="1:7" x14ac:dyDescent="0.2">
      <c r="A49" s="15" t="s">
        <v>82</v>
      </c>
      <c r="B49" s="22">
        <v>18000</v>
      </c>
      <c r="C49" s="82">
        <v>18000</v>
      </c>
      <c r="D49" s="22"/>
      <c r="E49" s="23">
        <f t="shared" si="7"/>
        <v>18000</v>
      </c>
      <c r="F49" s="83">
        <f t="shared" si="1"/>
        <v>0</v>
      </c>
      <c r="G49" s="64">
        <v>15446.49</v>
      </c>
    </row>
    <row r="50" spans="1:7" x14ac:dyDescent="0.2">
      <c r="A50" s="15" t="s">
        <v>83</v>
      </c>
      <c r="B50" s="23">
        <v>20000</v>
      </c>
      <c r="C50" s="23">
        <v>20000</v>
      </c>
      <c r="D50" s="23"/>
      <c r="E50" s="23">
        <f t="shared" si="7"/>
        <v>20000</v>
      </c>
      <c r="F50" s="83">
        <f t="shared" si="1"/>
        <v>0</v>
      </c>
      <c r="G50" s="63">
        <v>20480.68</v>
      </c>
    </row>
    <row r="51" spans="1:7" x14ac:dyDescent="0.2">
      <c r="A51" s="15" t="s">
        <v>84</v>
      </c>
      <c r="B51" s="22">
        <v>500</v>
      </c>
      <c r="C51" s="22">
        <v>500</v>
      </c>
      <c r="D51" s="22"/>
      <c r="E51" s="23">
        <f t="shared" si="7"/>
        <v>500</v>
      </c>
      <c r="F51" s="83">
        <f t="shared" si="1"/>
        <v>0</v>
      </c>
      <c r="G51" s="64"/>
    </row>
    <row r="52" spans="1:7" x14ac:dyDescent="0.2">
      <c r="A52" s="15" t="s">
        <v>194</v>
      </c>
      <c r="B52" s="22">
        <v>3000</v>
      </c>
      <c r="C52" s="22">
        <v>3000</v>
      </c>
      <c r="D52" s="22"/>
      <c r="E52" s="23">
        <f t="shared" si="7"/>
        <v>3000</v>
      </c>
      <c r="F52" s="83">
        <f t="shared" si="1"/>
        <v>0</v>
      </c>
      <c r="G52" s="64">
        <v>5594.23</v>
      </c>
    </row>
    <row r="53" spans="1:7" x14ac:dyDescent="0.2">
      <c r="A53" s="15" t="s">
        <v>85</v>
      </c>
      <c r="B53" s="22">
        <v>2000</v>
      </c>
      <c r="C53" s="22">
        <v>2000</v>
      </c>
      <c r="D53" s="22"/>
      <c r="E53" s="23">
        <f t="shared" si="7"/>
        <v>2000</v>
      </c>
      <c r="F53" s="83">
        <f t="shared" si="1"/>
        <v>0</v>
      </c>
      <c r="G53" s="64">
        <v>1894.2</v>
      </c>
    </row>
    <row r="54" spans="1:7" x14ac:dyDescent="0.2">
      <c r="A54" s="15" t="s">
        <v>86</v>
      </c>
      <c r="B54" s="22">
        <v>2000</v>
      </c>
      <c r="C54" s="22">
        <v>2000</v>
      </c>
      <c r="D54" s="22"/>
      <c r="E54" s="23">
        <f t="shared" si="7"/>
        <v>2000</v>
      </c>
      <c r="F54" s="83">
        <f t="shared" si="1"/>
        <v>0</v>
      </c>
      <c r="G54" s="64">
        <v>1702.3</v>
      </c>
    </row>
    <row r="55" spans="1:7" x14ac:dyDescent="0.2">
      <c r="A55" s="15" t="s">
        <v>87</v>
      </c>
      <c r="B55" s="22">
        <v>1000</v>
      </c>
      <c r="C55" s="22">
        <v>1000</v>
      </c>
      <c r="D55" s="22"/>
      <c r="E55" s="23">
        <f t="shared" si="7"/>
        <v>1000</v>
      </c>
      <c r="F55" s="83">
        <f t="shared" si="1"/>
        <v>0</v>
      </c>
      <c r="G55" s="64">
        <v>593.97</v>
      </c>
    </row>
    <row r="56" spans="1:7" x14ac:dyDescent="0.2">
      <c r="A56" s="15" t="s">
        <v>178</v>
      </c>
      <c r="B56" s="22">
        <v>2000</v>
      </c>
      <c r="C56" s="22">
        <v>2000</v>
      </c>
      <c r="D56" s="22"/>
      <c r="E56" s="23">
        <f t="shared" si="7"/>
        <v>2000</v>
      </c>
      <c r="F56" s="83">
        <f t="shared" si="1"/>
        <v>0</v>
      </c>
      <c r="G56" s="64">
        <v>2106.1</v>
      </c>
    </row>
    <row r="57" spans="1:7" x14ac:dyDescent="0.2">
      <c r="A57" s="15" t="s">
        <v>179</v>
      </c>
      <c r="B57" s="22">
        <v>1000</v>
      </c>
      <c r="C57" s="22">
        <v>1000</v>
      </c>
      <c r="D57" s="22"/>
      <c r="E57" s="23">
        <f t="shared" si="7"/>
        <v>1000</v>
      </c>
      <c r="F57" s="83">
        <f t="shared" si="1"/>
        <v>0</v>
      </c>
      <c r="G57" s="64">
        <v>4002.67</v>
      </c>
    </row>
    <row r="58" spans="1:7" x14ac:dyDescent="0.2">
      <c r="A58" s="15" t="s">
        <v>184</v>
      </c>
      <c r="B58" s="22">
        <v>1000</v>
      </c>
      <c r="C58" s="22">
        <v>500</v>
      </c>
      <c r="D58" s="22"/>
      <c r="E58" s="23">
        <f t="shared" si="7"/>
        <v>500</v>
      </c>
      <c r="F58" s="83">
        <f t="shared" si="1"/>
        <v>0</v>
      </c>
      <c r="G58" s="64">
        <v>656.59</v>
      </c>
    </row>
    <row r="59" spans="1:7" x14ac:dyDescent="0.2">
      <c r="A59" s="15" t="s">
        <v>88</v>
      </c>
      <c r="B59" s="22">
        <v>20000</v>
      </c>
      <c r="C59" s="22">
        <v>20000</v>
      </c>
      <c r="D59" s="22"/>
      <c r="E59" s="23">
        <f t="shared" si="7"/>
        <v>20000</v>
      </c>
      <c r="F59" s="83">
        <f t="shared" si="1"/>
        <v>0</v>
      </c>
      <c r="G59" s="64">
        <v>21204.43</v>
      </c>
    </row>
    <row r="60" spans="1:7" x14ac:dyDescent="0.2">
      <c r="A60" s="15" t="s">
        <v>181</v>
      </c>
      <c r="B60" s="22">
        <v>5000</v>
      </c>
      <c r="C60" s="22">
        <v>5000</v>
      </c>
      <c r="D60" s="22"/>
      <c r="E60" s="23">
        <f t="shared" si="7"/>
        <v>5000</v>
      </c>
      <c r="F60" s="83">
        <f t="shared" si="1"/>
        <v>0</v>
      </c>
      <c r="G60" s="63">
        <v>4112.01</v>
      </c>
    </row>
    <row r="61" spans="1:7" x14ac:dyDescent="0.2">
      <c r="A61" s="15" t="s">
        <v>89</v>
      </c>
      <c r="B61" s="22">
        <v>4000</v>
      </c>
      <c r="C61" s="22">
        <v>4000</v>
      </c>
      <c r="D61" s="22"/>
      <c r="E61" s="23">
        <f t="shared" si="7"/>
        <v>4000</v>
      </c>
      <c r="F61" s="83">
        <f t="shared" si="1"/>
        <v>0</v>
      </c>
      <c r="G61" s="63">
        <v>3535.4</v>
      </c>
    </row>
    <row r="62" spans="1:7" x14ac:dyDescent="0.2">
      <c r="A62" s="14" t="s">
        <v>90</v>
      </c>
      <c r="B62" s="21">
        <f>SUM(B63:B66)</f>
        <v>41000</v>
      </c>
      <c r="C62" s="21">
        <f>SUM(C63:C66)</f>
        <v>39500</v>
      </c>
      <c r="D62" s="21">
        <f t="shared" ref="D62:E62" si="8">SUM(D63:D66)</f>
        <v>0</v>
      </c>
      <c r="E62" s="21">
        <f t="shared" si="8"/>
        <v>39500</v>
      </c>
      <c r="F62" s="83">
        <f t="shared" si="1"/>
        <v>0</v>
      </c>
      <c r="G62" s="62">
        <f>SUM(G63:G66)</f>
        <v>36389.94</v>
      </c>
    </row>
    <row r="63" spans="1:7" x14ac:dyDescent="0.2">
      <c r="A63" s="15" t="s">
        <v>91</v>
      </c>
      <c r="B63" s="22">
        <v>8000</v>
      </c>
      <c r="C63" s="22">
        <v>8000</v>
      </c>
      <c r="D63" s="22"/>
      <c r="E63" s="22">
        <f>SUM(C63:D63)</f>
        <v>8000</v>
      </c>
      <c r="F63" s="83">
        <f t="shared" si="1"/>
        <v>0</v>
      </c>
      <c r="G63" s="64">
        <v>7839.96</v>
      </c>
    </row>
    <row r="64" spans="1:7" x14ac:dyDescent="0.2">
      <c r="A64" s="15" t="s">
        <v>92</v>
      </c>
      <c r="B64" s="22">
        <v>1000</v>
      </c>
      <c r="C64" s="22">
        <v>500</v>
      </c>
      <c r="D64" s="22"/>
      <c r="E64" s="22">
        <f t="shared" ref="E64:E66" si="9">SUM(C64:D64)</f>
        <v>500</v>
      </c>
      <c r="F64" s="83">
        <f t="shared" si="1"/>
        <v>0</v>
      </c>
      <c r="G64" s="64">
        <v>417.28</v>
      </c>
    </row>
    <row r="65" spans="1:7" x14ac:dyDescent="0.2">
      <c r="A65" s="15" t="s">
        <v>93</v>
      </c>
      <c r="B65" s="23">
        <v>28000</v>
      </c>
      <c r="C65" s="82">
        <v>27000</v>
      </c>
      <c r="D65" s="23"/>
      <c r="E65" s="22">
        <f t="shared" si="9"/>
        <v>27000</v>
      </c>
      <c r="F65" s="83">
        <f t="shared" si="1"/>
        <v>0</v>
      </c>
      <c r="G65" s="63">
        <v>24371.9</v>
      </c>
    </row>
    <row r="66" spans="1:7" x14ac:dyDescent="0.2">
      <c r="A66" s="15" t="s">
        <v>94</v>
      </c>
      <c r="B66" s="23">
        <v>4000</v>
      </c>
      <c r="C66" s="82">
        <v>4000</v>
      </c>
      <c r="D66" s="23"/>
      <c r="E66" s="22">
        <f t="shared" si="9"/>
        <v>4000</v>
      </c>
      <c r="F66" s="83">
        <f t="shared" si="1"/>
        <v>0</v>
      </c>
      <c r="G66" s="63">
        <f>SUM(2125.12+1635.68)</f>
        <v>3760.8</v>
      </c>
    </row>
    <row r="67" spans="1:7" x14ac:dyDescent="0.2">
      <c r="A67" s="14" t="s">
        <v>95</v>
      </c>
      <c r="B67" s="21">
        <v>4000</v>
      </c>
      <c r="C67" s="21">
        <v>4000</v>
      </c>
      <c r="D67" s="21"/>
      <c r="E67" s="21">
        <f>SUM(C67:D67)</f>
        <v>4000</v>
      </c>
      <c r="F67" s="83">
        <f t="shared" si="1"/>
        <v>0</v>
      </c>
      <c r="G67" s="62">
        <v>4191.78</v>
      </c>
    </row>
    <row r="68" spans="1:7" x14ac:dyDescent="0.2">
      <c r="A68" s="14" t="s">
        <v>96</v>
      </c>
      <c r="B68" s="21">
        <f>SUM(B69:B72)</f>
        <v>15000</v>
      </c>
      <c r="C68" s="84">
        <v>17000</v>
      </c>
      <c r="D68" s="21">
        <f t="shared" ref="D68:E68" si="10">SUM(D69:D73)</f>
        <v>0</v>
      </c>
      <c r="E68" s="21">
        <f t="shared" si="10"/>
        <v>14000</v>
      </c>
      <c r="F68" s="83">
        <f t="shared" si="1"/>
        <v>3000</v>
      </c>
      <c r="G68" s="62">
        <f>SUM(G69:G73)</f>
        <v>21537.15</v>
      </c>
    </row>
    <row r="69" spans="1:7" x14ac:dyDescent="0.2">
      <c r="A69" s="15" t="s">
        <v>97</v>
      </c>
      <c r="B69" s="22">
        <v>8000</v>
      </c>
      <c r="C69" s="22">
        <v>8000</v>
      </c>
      <c r="D69" s="22"/>
      <c r="E69" s="22">
        <f>SUM(C69:D69)</f>
        <v>8000</v>
      </c>
      <c r="F69" s="83">
        <f t="shared" si="1"/>
        <v>0</v>
      </c>
      <c r="G69" s="64">
        <f>SUM(642.18+12582.98)</f>
        <v>13225.16</v>
      </c>
    </row>
    <row r="70" spans="1:7" x14ac:dyDescent="0.2">
      <c r="A70" s="15" t="s">
        <v>176</v>
      </c>
      <c r="B70" s="22">
        <v>4000</v>
      </c>
      <c r="C70" s="22">
        <v>4000</v>
      </c>
      <c r="D70" s="22"/>
      <c r="E70" s="22">
        <f t="shared" ref="E70:E72" si="11">SUM(C70:D70)</f>
        <v>4000</v>
      </c>
      <c r="F70" s="83">
        <f t="shared" ref="F70:F133" si="12">C70-E70</f>
        <v>0</v>
      </c>
      <c r="G70" s="64">
        <f>SUM(8016.41)</f>
        <v>8016.41</v>
      </c>
    </row>
    <row r="71" spans="1:7" x14ac:dyDescent="0.2">
      <c r="A71" s="15" t="s">
        <v>175</v>
      </c>
      <c r="B71" s="22">
        <v>2000</v>
      </c>
      <c r="C71" s="22">
        <v>2000</v>
      </c>
      <c r="D71" s="22"/>
      <c r="E71" s="22">
        <f t="shared" si="11"/>
        <v>2000</v>
      </c>
      <c r="F71" s="83">
        <f t="shared" si="12"/>
        <v>0</v>
      </c>
      <c r="G71" s="64">
        <v>295.58</v>
      </c>
    </row>
    <row r="72" spans="1:7" x14ac:dyDescent="0.2">
      <c r="A72" s="15" t="s">
        <v>198</v>
      </c>
      <c r="B72" s="22">
        <v>1000</v>
      </c>
      <c r="C72" s="22">
        <v>0</v>
      </c>
      <c r="D72" s="22"/>
      <c r="E72" s="22">
        <f t="shared" si="11"/>
        <v>0</v>
      </c>
      <c r="F72" s="83">
        <f t="shared" si="12"/>
        <v>0</v>
      </c>
      <c r="G72" s="64"/>
    </row>
    <row r="73" spans="1:7" hidden="1" x14ac:dyDescent="0.2">
      <c r="A73" s="15" t="s">
        <v>99</v>
      </c>
      <c r="B73" s="22">
        <v>0</v>
      </c>
      <c r="C73" s="22">
        <v>0</v>
      </c>
      <c r="D73" s="22"/>
      <c r="E73" s="22">
        <v>0</v>
      </c>
      <c r="F73" s="83">
        <f t="shared" si="12"/>
        <v>0</v>
      </c>
      <c r="G73" s="64"/>
    </row>
    <row r="74" spans="1:7" x14ac:dyDescent="0.2">
      <c r="A74" s="14" t="s">
        <v>100</v>
      </c>
      <c r="B74" s="21">
        <f>SUM(B75:B76)</f>
        <v>400</v>
      </c>
      <c r="C74" s="21">
        <f>SUM(C75:C76)</f>
        <v>400</v>
      </c>
      <c r="D74" s="21">
        <f t="shared" ref="D74:E74" si="13">SUM(D75:D76)</f>
        <v>0</v>
      </c>
      <c r="E74" s="21">
        <f t="shared" si="13"/>
        <v>400</v>
      </c>
      <c r="F74" s="83">
        <f t="shared" si="12"/>
        <v>0</v>
      </c>
      <c r="G74" s="62">
        <f>SUM(G75:G76)</f>
        <v>252</v>
      </c>
    </row>
    <row r="75" spans="1:7" x14ac:dyDescent="0.2">
      <c r="A75" s="15" t="s">
        <v>101</v>
      </c>
      <c r="B75" s="23">
        <v>200</v>
      </c>
      <c r="C75" s="23">
        <v>200</v>
      </c>
      <c r="D75" s="23"/>
      <c r="E75" s="23">
        <f>SUM(C75:D75)</f>
        <v>200</v>
      </c>
      <c r="F75" s="83">
        <f t="shared" si="12"/>
        <v>0</v>
      </c>
      <c r="G75" s="63">
        <v>252</v>
      </c>
    </row>
    <row r="76" spans="1:7" x14ac:dyDescent="0.2">
      <c r="A76" s="15" t="s">
        <v>103</v>
      </c>
      <c r="B76" s="23">
        <v>200</v>
      </c>
      <c r="C76" s="23">
        <v>200</v>
      </c>
      <c r="D76" s="23"/>
      <c r="E76" s="23">
        <f>SUM(C76:D76)</f>
        <v>200</v>
      </c>
      <c r="F76" s="83">
        <f t="shared" si="12"/>
        <v>0</v>
      </c>
      <c r="G76" s="63"/>
    </row>
    <row r="77" spans="1:7" s="8" customFormat="1" ht="15.75" x14ac:dyDescent="0.25">
      <c r="A77" s="13" t="s">
        <v>104</v>
      </c>
      <c r="B77" s="20">
        <f>SUM(B78+B82+B93+B98+B102)</f>
        <v>353500</v>
      </c>
      <c r="C77" s="20">
        <f>SUM(C78+C82+C93+C98+C102)</f>
        <v>363500</v>
      </c>
      <c r="D77" s="20">
        <f t="shared" ref="D77:E77" si="14">SUM(D78+D82+D93+D98+D102)</f>
        <v>0</v>
      </c>
      <c r="E77" s="20">
        <f t="shared" si="14"/>
        <v>363500</v>
      </c>
      <c r="F77" s="83">
        <f t="shared" si="12"/>
        <v>0</v>
      </c>
      <c r="G77" s="61">
        <f>SUM(G78+G82+G93+G98+G102)</f>
        <v>217143.88999999998</v>
      </c>
    </row>
    <row r="78" spans="1:7" x14ac:dyDescent="0.2">
      <c r="A78" s="14" t="s">
        <v>105</v>
      </c>
      <c r="B78" s="21">
        <f>SUM(B79:B81)</f>
        <v>12500</v>
      </c>
      <c r="C78" s="21">
        <f>SUM(C79:C81)</f>
        <v>12500</v>
      </c>
      <c r="D78" s="21">
        <f t="shared" ref="D78:E78" si="15">SUM(D79:D81)</f>
        <v>0</v>
      </c>
      <c r="E78" s="21">
        <f t="shared" si="15"/>
        <v>12500</v>
      </c>
      <c r="F78" s="83">
        <f t="shared" si="12"/>
        <v>0</v>
      </c>
      <c r="G78" s="62">
        <f>SUM(G79:G81)</f>
        <v>11358.720000000001</v>
      </c>
    </row>
    <row r="79" spans="1:7" x14ac:dyDescent="0.2">
      <c r="A79" s="15" t="s">
        <v>106</v>
      </c>
      <c r="B79" s="23">
        <v>1500</v>
      </c>
      <c r="C79" s="23">
        <v>1500</v>
      </c>
      <c r="D79" s="23"/>
      <c r="E79" s="23">
        <f>SUM(C79:D79)</f>
        <v>1500</v>
      </c>
      <c r="F79" s="83">
        <f t="shared" si="12"/>
        <v>0</v>
      </c>
      <c r="G79" s="63">
        <v>1388</v>
      </c>
    </row>
    <row r="80" spans="1:7" x14ac:dyDescent="0.2">
      <c r="A80" s="15" t="s">
        <v>107</v>
      </c>
      <c r="B80" s="23">
        <v>7000</v>
      </c>
      <c r="C80" s="23">
        <v>7000</v>
      </c>
      <c r="D80" s="23"/>
      <c r="E80" s="23">
        <f t="shared" ref="E80:E81" si="16">SUM(C80:D80)</f>
        <v>7000</v>
      </c>
      <c r="F80" s="83">
        <f t="shared" si="12"/>
        <v>0</v>
      </c>
      <c r="G80" s="63">
        <v>6741.47</v>
      </c>
    </row>
    <row r="81" spans="1:7" x14ac:dyDescent="0.2">
      <c r="A81" s="15" t="s">
        <v>108</v>
      </c>
      <c r="B81" s="23">
        <v>4000</v>
      </c>
      <c r="C81" s="23">
        <v>4000</v>
      </c>
      <c r="D81" s="23"/>
      <c r="E81" s="23">
        <f t="shared" si="16"/>
        <v>4000</v>
      </c>
      <c r="F81" s="83">
        <f t="shared" si="12"/>
        <v>0</v>
      </c>
      <c r="G81" s="63">
        <v>3229.25</v>
      </c>
    </row>
    <row r="82" spans="1:7" x14ac:dyDescent="0.2">
      <c r="A82" s="14" t="s">
        <v>109</v>
      </c>
      <c r="B82" s="21">
        <f>SUM(B84:B92)</f>
        <v>231000</v>
      </c>
      <c r="C82" s="21">
        <f>SUM(C83:C92)</f>
        <v>241000</v>
      </c>
      <c r="D82" s="21">
        <f t="shared" ref="D82:E82" si="17">SUM(D83:D92)</f>
        <v>0</v>
      </c>
      <c r="E82" s="21">
        <f t="shared" si="17"/>
        <v>241000</v>
      </c>
      <c r="F82" s="83">
        <f t="shared" si="12"/>
        <v>0</v>
      </c>
      <c r="G82" s="62">
        <f>SUM(G83:G92)</f>
        <v>102752.1</v>
      </c>
    </row>
    <row r="83" spans="1:7" hidden="1" x14ac:dyDescent="0.2">
      <c r="A83" s="15" t="s">
        <v>110</v>
      </c>
      <c r="B83" s="22">
        <v>0</v>
      </c>
      <c r="C83" s="22">
        <v>0</v>
      </c>
      <c r="D83" s="22"/>
      <c r="E83" s="22">
        <v>0</v>
      </c>
      <c r="F83" s="83">
        <f t="shared" si="12"/>
        <v>0</v>
      </c>
      <c r="G83" s="64"/>
    </row>
    <row r="84" spans="1:7" x14ac:dyDescent="0.2">
      <c r="A84" s="15" t="s">
        <v>111</v>
      </c>
      <c r="B84" s="22">
        <v>32000</v>
      </c>
      <c r="C84" s="22">
        <v>32000</v>
      </c>
      <c r="D84" s="22"/>
      <c r="E84" s="22">
        <f>SUM(C84:D84)</f>
        <v>32000</v>
      </c>
      <c r="F84" s="83">
        <f t="shared" si="12"/>
        <v>0</v>
      </c>
      <c r="G84" s="64">
        <v>30918.76</v>
      </c>
    </row>
    <row r="85" spans="1:7" ht="25.5" x14ac:dyDescent="0.2">
      <c r="A85" s="17" t="s">
        <v>112</v>
      </c>
      <c r="B85" s="22">
        <v>10000</v>
      </c>
      <c r="C85" s="22">
        <v>10000</v>
      </c>
      <c r="D85" s="22"/>
      <c r="E85" s="22">
        <f t="shared" ref="E85:E92" si="18">SUM(C85:D85)</f>
        <v>10000</v>
      </c>
      <c r="F85" s="83">
        <f t="shared" si="12"/>
        <v>0</v>
      </c>
      <c r="G85" s="64"/>
    </row>
    <row r="86" spans="1:7" ht="25.5" x14ac:dyDescent="0.2">
      <c r="A86" s="17" t="s">
        <v>113</v>
      </c>
      <c r="B86" s="22">
        <v>10000</v>
      </c>
      <c r="C86" s="22">
        <v>10000</v>
      </c>
      <c r="D86" s="22"/>
      <c r="E86" s="22">
        <f t="shared" si="18"/>
        <v>10000</v>
      </c>
      <c r="F86" s="83">
        <f t="shared" si="12"/>
        <v>0</v>
      </c>
      <c r="G86" s="64"/>
    </row>
    <row r="87" spans="1:7" x14ac:dyDescent="0.2">
      <c r="A87" s="24" t="s">
        <v>115</v>
      </c>
      <c r="B87" s="18">
        <v>130000</v>
      </c>
      <c r="C87" s="18">
        <v>140000</v>
      </c>
      <c r="D87" s="18"/>
      <c r="E87" s="22">
        <f t="shared" si="18"/>
        <v>140000</v>
      </c>
      <c r="F87" s="83">
        <f t="shared" si="12"/>
        <v>0</v>
      </c>
      <c r="G87" s="64">
        <v>32578.43</v>
      </c>
    </row>
    <row r="88" spans="1:7" x14ac:dyDescent="0.2">
      <c r="A88" s="15" t="s">
        <v>185</v>
      </c>
      <c r="B88" s="22">
        <v>2000</v>
      </c>
      <c r="C88" s="22">
        <v>2000</v>
      </c>
      <c r="D88" s="22"/>
      <c r="E88" s="22">
        <f t="shared" si="18"/>
        <v>2000</v>
      </c>
      <c r="F88" s="83">
        <f t="shared" si="12"/>
        <v>0</v>
      </c>
      <c r="G88" s="63">
        <f>SUM(1681.96+630)</f>
        <v>2311.96</v>
      </c>
    </row>
    <row r="89" spans="1:7" x14ac:dyDescent="0.2">
      <c r="A89" s="15" t="s">
        <v>116</v>
      </c>
      <c r="B89" s="22">
        <v>5000</v>
      </c>
      <c r="C89" s="22">
        <v>5000</v>
      </c>
      <c r="D89" s="22"/>
      <c r="E89" s="22">
        <f t="shared" si="18"/>
        <v>5000</v>
      </c>
      <c r="F89" s="83">
        <f t="shared" si="12"/>
        <v>0</v>
      </c>
      <c r="G89" s="64">
        <v>3009</v>
      </c>
    </row>
    <row r="90" spans="1:7" x14ac:dyDescent="0.2">
      <c r="A90" s="15" t="s">
        <v>117</v>
      </c>
      <c r="B90" s="22">
        <v>12000</v>
      </c>
      <c r="C90" s="22">
        <v>12000</v>
      </c>
      <c r="D90" s="22"/>
      <c r="E90" s="22">
        <f t="shared" si="18"/>
        <v>12000</v>
      </c>
      <c r="F90" s="83">
        <f t="shared" si="12"/>
        <v>0</v>
      </c>
      <c r="G90" s="64">
        <f>SUM(13534.01+645.18)</f>
        <v>14179.19</v>
      </c>
    </row>
    <row r="91" spans="1:7" x14ac:dyDescent="0.2">
      <c r="A91" s="15" t="s">
        <v>118</v>
      </c>
      <c r="B91" s="22">
        <v>2000</v>
      </c>
      <c r="C91" s="22">
        <v>2000</v>
      </c>
      <c r="D91" s="22"/>
      <c r="E91" s="22">
        <f t="shared" si="18"/>
        <v>2000</v>
      </c>
      <c r="F91" s="83">
        <f t="shared" si="12"/>
        <v>0</v>
      </c>
      <c r="G91" s="63">
        <f>SUM(5499.76+930)</f>
        <v>6429.76</v>
      </c>
    </row>
    <row r="92" spans="1:7" x14ac:dyDescent="0.2">
      <c r="A92" s="15" t="s">
        <v>119</v>
      </c>
      <c r="B92" s="22">
        <v>28000</v>
      </c>
      <c r="C92" s="22">
        <v>28000</v>
      </c>
      <c r="D92" s="22"/>
      <c r="E92" s="22">
        <f t="shared" si="18"/>
        <v>28000</v>
      </c>
      <c r="F92" s="83">
        <f t="shared" si="12"/>
        <v>0</v>
      </c>
      <c r="G92" s="64">
        <v>13325</v>
      </c>
    </row>
    <row r="93" spans="1:7" x14ac:dyDescent="0.2">
      <c r="A93" s="14" t="s">
        <v>120</v>
      </c>
      <c r="B93" s="21">
        <f>SUM(B94:B97)</f>
        <v>47000</v>
      </c>
      <c r="C93" s="21">
        <f>SUM(C94:C97)</f>
        <v>47000</v>
      </c>
      <c r="D93" s="21">
        <f t="shared" ref="D93:E93" si="19">SUM(D94:D97)</f>
        <v>0</v>
      </c>
      <c r="E93" s="21">
        <f t="shared" si="19"/>
        <v>47000</v>
      </c>
      <c r="F93" s="83">
        <f t="shared" si="12"/>
        <v>0</v>
      </c>
      <c r="G93" s="62">
        <f>SUM(G94:G97)</f>
        <v>48747.289999999994</v>
      </c>
    </row>
    <row r="94" spans="1:7" x14ac:dyDescent="0.2">
      <c r="A94" s="15" t="s">
        <v>121</v>
      </c>
      <c r="B94" s="22">
        <v>6000</v>
      </c>
      <c r="C94" s="22">
        <v>6000</v>
      </c>
      <c r="D94" s="22"/>
      <c r="E94" s="22">
        <f>SUM(C94:D94)</f>
        <v>6000</v>
      </c>
      <c r="F94" s="83">
        <f t="shared" si="12"/>
        <v>0</v>
      </c>
      <c r="G94" s="64">
        <v>5548.65</v>
      </c>
    </row>
    <row r="95" spans="1:7" x14ac:dyDescent="0.2">
      <c r="A95" s="15" t="s">
        <v>122</v>
      </c>
      <c r="B95" s="22">
        <v>3000</v>
      </c>
      <c r="C95" s="22">
        <v>3000</v>
      </c>
      <c r="D95" s="22"/>
      <c r="E95" s="22">
        <f t="shared" ref="E95:E97" si="20">SUM(C95:D95)</f>
        <v>3000</v>
      </c>
      <c r="F95" s="83">
        <f t="shared" si="12"/>
        <v>0</v>
      </c>
      <c r="G95" s="64">
        <f>SUM(1311.62+1080.47)</f>
        <v>2392.09</v>
      </c>
    </row>
    <row r="96" spans="1:7" x14ac:dyDescent="0.2">
      <c r="A96" s="15" t="s">
        <v>123</v>
      </c>
      <c r="B96" s="22">
        <v>16000</v>
      </c>
      <c r="C96" s="22">
        <v>16000</v>
      </c>
      <c r="D96" s="22"/>
      <c r="E96" s="22">
        <f t="shared" si="20"/>
        <v>16000</v>
      </c>
      <c r="F96" s="83">
        <f t="shared" si="12"/>
        <v>0</v>
      </c>
      <c r="G96" s="64">
        <v>16752.11</v>
      </c>
    </row>
    <row r="97" spans="1:7" x14ac:dyDescent="0.2">
      <c r="A97" s="15" t="s">
        <v>124</v>
      </c>
      <c r="B97" s="22">
        <v>22000</v>
      </c>
      <c r="C97" s="22">
        <v>22000</v>
      </c>
      <c r="D97" s="22"/>
      <c r="E97" s="22">
        <f t="shared" si="20"/>
        <v>22000</v>
      </c>
      <c r="F97" s="83">
        <f t="shared" si="12"/>
        <v>0</v>
      </c>
      <c r="G97" s="64">
        <v>24054.44</v>
      </c>
    </row>
    <row r="98" spans="1:7" x14ac:dyDescent="0.2">
      <c r="A98" s="14" t="s">
        <v>125</v>
      </c>
      <c r="B98" s="21">
        <f>SUM(B99:B101)</f>
        <v>16000</v>
      </c>
      <c r="C98" s="21">
        <f>SUM(C99:C101)</f>
        <v>16000</v>
      </c>
      <c r="D98" s="21">
        <f t="shared" ref="D98:E98" si="21">SUM(D99:D101)</f>
        <v>0</v>
      </c>
      <c r="E98" s="21">
        <f t="shared" si="21"/>
        <v>16000</v>
      </c>
      <c r="F98" s="83">
        <f t="shared" si="12"/>
        <v>0</v>
      </c>
      <c r="G98" s="62">
        <f>SUM(G99:G101)</f>
        <v>15355.84</v>
      </c>
    </row>
    <row r="99" spans="1:7" x14ac:dyDescent="0.2">
      <c r="A99" s="15" t="s">
        <v>126</v>
      </c>
      <c r="B99" s="22">
        <v>12000</v>
      </c>
      <c r="C99" s="22">
        <v>12000</v>
      </c>
      <c r="D99" s="22"/>
      <c r="E99" s="22">
        <f>SUM(C99:D99)</f>
        <v>12000</v>
      </c>
      <c r="F99" s="83">
        <f t="shared" si="12"/>
        <v>0</v>
      </c>
      <c r="G99" s="63">
        <v>12371.57</v>
      </c>
    </row>
    <row r="100" spans="1:7" x14ac:dyDescent="0.2">
      <c r="A100" s="15" t="s">
        <v>127</v>
      </c>
      <c r="B100" s="22">
        <v>3000</v>
      </c>
      <c r="C100" s="22">
        <v>3000</v>
      </c>
      <c r="D100" s="22"/>
      <c r="E100" s="22">
        <f t="shared" ref="E100:E101" si="22">SUM(C100:D100)</f>
        <v>3000</v>
      </c>
      <c r="F100" s="83">
        <f t="shared" si="12"/>
        <v>0</v>
      </c>
      <c r="G100" s="64">
        <f>SUM(1744.01+654.33)</f>
        <v>2398.34</v>
      </c>
    </row>
    <row r="101" spans="1:7" x14ac:dyDescent="0.2">
      <c r="A101" s="15" t="s">
        <v>128</v>
      </c>
      <c r="B101" s="22">
        <v>1000</v>
      </c>
      <c r="C101" s="22">
        <v>1000</v>
      </c>
      <c r="D101" s="22"/>
      <c r="E101" s="22">
        <f t="shared" si="22"/>
        <v>1000</v>
      </c>
      <c r="F101" s="83">
        <f t="shared" si="12"/>
        <v>0</v>
      </c>
      <c r="G101" s="64">
        <f>SUM(585.93)</f>
        <v>585.92999999999995</v>
      </c>
    </row>
    <row r="102" spans="1:7" x14ac:dyDescent="0.2">
      <c r="A102" s="14" t="s">
        <v>129</v>
      </c>
      <c r="B102" s="21">
        <f>SUM(B103:B114)</f>
        <v>47000</v>
      </c>
      <c r="C102" s="21">
        <f>SUM(C103:C114)</f>
        <v>47000</v>
      </c>
      <c r="D102" s="21">
        <f>SUM(D103:D114)</f>
        <v>0</v>
      </c>
      <c r="E102" s="21">
        <f>SUM(E103:E114)</f>
        <v>47000</v>
      </c>
      <c r="F102" s="83">
        <f t="shared" si="12"/>
        <v>0</v>
      </c>
      <c r="G102" s="62">
        <f>SUM(G103:G114)</f>
        <v>38929.94</v>
      </c>
    </row>
    <row r="103" spans="1:7" x14ac:dyDescent="0.2">
      <c r="A103" s="15" t="s">
        <v>134</v>
      </c>
      <c r="B103" s="23">
        <v>6000</v>
      </c>
      <c r="C103" s="23">
        <v>6000</v>
      </c>
      <c r="D103" s="23"/>
      <c r="E103" s="23">
        <f>SUM(C103:D103)</f>
        <v>6000</v>
      </c>
      <c r="F103" s="83">
        <f t="shared" si="12"/>
        <v>0</v>
      </c>
      <c r="G103" s="63">
        <v>4366.45</v>
      </c>
    </row>
    <row r="104" spans="1:7" x14ac:dyDescent="0.2">
      <c r="A104" s="15" t="s">
        <v>135</v>
      </c>
      <c r="B104" s="23">
        <v>3000</v>
      </c>
      <c r="C104" s="23">
        <v>3000</v>
      </c>
      <c r="D104" s="23"/>
      <c r="E104" s="23">
        <f t="shared" ref="E104:E114" si="23">SUM(C104:D104)</f>
        <v>3000</v>
      </c>
      <c r="F104" s="83">
        <f t="shared" si="12"/>
        <v>0</v>
      </c>
      <c r="G104" s="63">
        <v>2486.98</v>
      </c>
    </row>
    <row r="105" spans="1:7" x14ac:dyDescent="0.2">
      <c r="A105" s="15" t="s">
        <v>188</v>
      </c>
      <c r="B105" s="22">
        <v>9000</v>
      </c>
      <c r="C105" s="22">
        <v>9000</v>
      </c>
      <c r="D105" s="22"/>
      <c r="E105" s="23">
        <f t="shared" si="23"/>
        <v>9000</v>
      </c>
      <c r="F105" s="83">
        <f t="shared" si="12"/>
        <v>0</v>
      </c>
      <c r="G105" s="64">
        <f>SUM(137.93+7264.72)</f>
        <v>7402.6500000000005</v>
      </c>
    </row>
    <row r="106" spans="1:7" x14ac:dyDescent="0.2">
      <c r="A106" s="15" t="s">
        <v>212</v>
      </c>
      <c r="B106" s="22">
        <v>3000</v>
      </c>
      <c r="C106" s="22">
        <v>6000</v>
      </c>
      <c r="D106" s="22"/>
      <c r="E106" s="23">
        <f t="shared" si="23"/>
        <v>6000</v>
      </c>
      <c r="F106" s="83">
        <f t="shared" si="12"/>
        <v>0</v>
      </c>
      <c r="G106" s="64"/>
    </row>
    <row r="107" spans="1:7" x14ac:dyDescent="0.2">
      <c r="A107" s="17" t="s">
        <v>213</v>
      </c>
      <c r="B107" s="22">
        <v>12000</v>
      </c>
      <c r="C107" s="22">
        <v>11000</v>
      </c>
      <c r="D107" s="22"/>
      <c r="E107" s="23">
        <f t="shared" si="23"/>
        <v>11000</v>
      </c>
      <c r="F107" s="83">
        <f t="shared" si="12"/>
        <v>0</v>
      </c>
      <c r="G107" s="64">
        <f>SUM(12358.26)</f>
        <v>12358.26</v>
      </c>
    </row>
    <row r="108" spans="1:7" x14ac:dyDescent="0.2">
      <c r="A108" s="15" t="s">
        <v>171</v>
      </c>
      <c r="B108" s="22">
        <v>2000</v>
      </c>
      <c r="C108" s="22">
        <v>3000</v>
      </c>
      <c r="D108" s="22"/>
      <c r="E108" s="23">
        <f t="shared" si="23"/>
        <v>3000</v>
      </c>
      <c r="F108" s="83">
        <f t="shared" si="12"/>
        <v>0</v>
      </c>
      <c r="G108" s="64">
        <v>2765</v>
      </c>
    </row>
    <row r="109" spans="1:7" x14ac:dyDescent="0.2">
      <c r="A109" s="15" t="s">
        <v>170</v>
      </c>
      <c r="B109" s="22">
        <v>2000</v>
      </c>
      <c r="C109" s="22">
        <v>0</v>
      </c>
      <c r="D109" s="22"/>
      <c r="E109" s="23">
        <f t="shared" si="23"/>
        <v>0</v>
      </c>
      <c r="F109" s="83">
        <f t="shared" si="12"/>
        <v>0</v>
      </c>
      <c r="G109" s="64"/>
    </row>
    <row r="110" spans="1:7" x14ac:dyDescent="0.2">
      <c r="A110" s="15" t="s">
        <v>169</v>
      </c>
      <c r="B110" s="22">
        <v>2000</v>
      </c>
      <c r="C110" s="22">
        <v>2000</v>
      </c>
      <c r="D110" s="22"/>
      <c r="E110" s="23">
        <f t="shared" si="23"/>
        <v>2000</v>
      </c>
      <c r="F110" s="83">
        <f t="shared" si="12"/>
        <v>0</v>
      </c>
      <c r="G110" s="64">
        <v>2032</v>
      </c>
    </row>
    <row r="111" spans="1:7" ht="25.5" hidden="1" x14ac:dyDescent="0.2">
      <c r="A111" s="28" t="s">
        <v>186</v>
      </c>
      <c r="B111" s="22">
        <v>0</v>
      </c>
      <c r="C111" s="22">
        <v>0</v>
      </c>
      <c r="D111" s="22"/>
      <c r="E111" s="23">
        <f t="shared" si="23"/>
        <v>0</v>
      </c>
      <c r="F111" s="83">
        <f t="shared" si="12"/>
        <v>0</v>
      </c>
      <c r="G111" s="64"/>
    </row>
    <row r="112" spans="1:7" hidden="1" x14ac:dyDescent="0.2">
      <c r="A112" s="15" t="s">
        <v>136</v>
      </c>
      <c r="B112" s="23">
        <v>0</v>
      </c>
      <c r="C112" s="23">
        <v>0</v>
      </c>
      <c r="D112" s="23"/>
      <c r="E112" s="23">
        <f t="shared" si="23"/>
        <v>0</v>
      </c>
      <c r="F112" s="83">
        <f t="shared" si="12"/>
        <v>0</v>
      </c>
      <c r="G112" s="63"/>
    </row>
    <row r="113" spans="1:7" x14ac:dyDescent="0.2">
      <c r="A113" s="15" t="s">
        <v>137</v>
      </c>
      <c r="B113" s="23">
        <v>6000</v>
      </c>
      <c r="C113" s="23">
        <v>6000</v>
      </c>
      <c r="D113" s="23"/>
      <c r="E113" s="23">
        <f t="shared" si="23"/>
        <v>6000</v>
      </c>
      <c r="F113" s="83">
        <f t="shared" si="12"/>
        <v>0</v>
      </c>
      <c r="G113" s="63">
        <v>6662.82</v>
      </c>
    </row>
    <row r="114" spans="1:7" x14ac:dyDescent="0.2">
      <c r="A114" s="15" t="s">
        <v>129</v>
      </c>
      <c r="B114" s="23">
        <v>2000</v>
      </c>
      <c r="C114" s="23">
        <v>1000</v>
      </c>
      <c r="D114" s="23"/>
      <c r="E114" s="23">
        <f t="shared" si="23"/>
        <v>1000</v>
      </c>
      <c r="F114" s="83">
        <f t="shared" si="12"/>
        <v>0</v>
      </c>
      <c r="G114" s="63">
        <f>SUM(855.28+0.5)</f>
        <v>855.78</v>
      </c>
    </row>
    <row r="115" spans="1:7" s="8" customFormat="1" ht="15.75" x14ac:dyDescent="0.25">
      <c r="A115" s="13" t="s">
        <v>138</v>
      </c>
      <c r="B115" s="20">
        <v>44000</v>
      </c>
      <c r="C115" s="81">
        <v>40000</v>
      </c>
      <c r="D115" s="20">
        <v>6000</v>
      </c>
      <c r="E115" s="20">
        <f>SUM(C115:D115)</f>
        <v>46000</v>
      </c>
      <c r="F115" s="83">
        <f t="shared" si="12"/>
        <v>-6000</v>
      </c>
      <c r="G115" s="61">
        <v>83451.55</v>
      </c>
    </row>
    <row r="116" spans="1:7" s="8" customFormat="1" ht="15.75" x14ac:dyDescent="0.25">
      <c r="A116" s="13" t="s">
        <v>139</v>
      </c>
      <c r="B116" s="20">
        <v>800000</v>
      </c>
      <c r="C116" s="81">
        <v>780000</v>
      </c>
      <c r="D116" s="20">
        <v>30000</v>
      </c>
      <c r="E116" s="20">
        <f>SUM(C116:D116)</f>
        <v>810000</v>
      </c>
      <c r="F116" s="83">
        <f t="shared" si="12"/>
        <v>-30000</v>
      </c>
      <c r="G116" s="61">
        <f>SUM(647662.81+280+140)</f>
        <v>648082.81000000006</v>
      </c>
    </row>
    <row r="117" spans="1:7" ht="15.75" x14ac:dyDescent="0.25">
      <c r="A117" s="13" t="s">
        <v>140</v>
      </c>
      <c r="B117" s="20">
        <v>155800</v>
      </c>
      <c r="C117" s="20">
        <f>SUM(C118+C119+C122)</f>
        <v>151300</v>
      </c>
      <c r="D117" s="20">
        <f t="shared" ref="D117:E117" si="24">SUM(D118+D119+D122)</f>
        <v>0</v>
      </c>
      <c r="E117" s="20">
        <f t="shared" si="24"/>
        <v>151300</v>
      </c>
      <c r="F117" s="83">
        <f t="shared" si="12"/>
        <v>0</v>
      </c>
      <c r="G117" s="61">
        <f>SUM(G118+G119+G122)</f>
        <v>148275.32999999999</v>
      </c>
    </row>
    <row r="118" spans="1:7" x14ac:dyDescent="0.2">
      <c r="A118" s="14" t="s">
        <v>141</v>
      </c>
      <c r="B118" s="21">
        <v>19200</v>
      </c>
      <c r="C118" s="21">
        <f>SUM(1600*12)</f>
        <v>19200</v>
      </c>
      <c r="D118" s="21"/>
      <c r="E118" s="21">
        <f>SUM(C118:D118)</f>
        <v>19200</v>
      </c>
      <c r="F118" s="83">
        <f t="shared" si="12"/>
        <v>0</v>
      </c>
      <c r="G118" s="62">
        <v>17991.21</v>
      </c>
    </row>
    <row r="119" spans="1:7" x14ac:dyDescent="0.2">
      <c r="A119" s="14" t="s">
        <v>142</v>
      </c>
      <c r="B119" s="21">
        <v>20000</v>
      </c>
      <c r="C119" s="21">
        <f>SUM(C120:C121)</f>
        <v>20000</v>
      </c>
      <c r="D119" s="21">
        <f t="shared" ref="D119:E119" si="25">SUM(D120:D121)</f>
        <v>0</v>
      </c>
      <c r="E119" s="21">
        <f t="shared" si="25"/>
        <v>20000</v>
      </c>
      <c r="F119" s="83">
        <f t="shared" si="12"/>
        <v>0</v>
      </c>
      <c r="G119" s="62">
        <f>SUM(G120:G121)</f>
        <v>20088.419999999998</v>
      </c>
    </row>
    <row r="120" spans="1:7" x14ac:dyDescent="0.2">
      <c r="A120" s="15" t="s">
        <v>143</v>
      </c>
      <c r="B120" s="22">
        <v>8000</v>
      </c>
      <c r="C120" s="22">
        <v>8000</v>
      </c>
      <c r="D120" s="22"/>
      <c r="E120" s="22">
        <f>SUM(C120:D120)</f>
        <v>8000</v>
      </c>
      <c r="F120" s="83">
        <f t="shared" si="12"/>
        <v>0</v>
      </c>
      <c r="G120" s="64">
        <v>10203.69</v>
      </c>
    </row>
    <row r="121" spans="1:7" x14ac:dyDescent="0.2">
      <c r="A121" s="15" t="s">
        <v>144</v>
      </c>
      <c r="B121" s="22">
        <v>12000</v>
      </c>
      <c r="C121" s="22">
        <v>12000</v>
      </c>
      <c r="D121" s="22"/>
      <c r="E121" s="22">
        <f>SUM(C121:D121)</f>
        <v>12000</v>
      </c>
      <c r="F121" s="83">
        <f t="shared" si="12"/>
        <v>0</v>
      </c>
      <c r="G121" s="64">
        <f>SUM(1328.54+8556.19)</f>
        <v>9884.73</v>
      </c>
    </row>
    <row r="122" spans="1:7" x14ac:dyDescent="0.2">
      <c r="A122" s="14" t="s">
        <v>145</v>
      </c>
      <c r="B122" s="21">
        <v>116600</v>
      </c>
      <c r="C122" s="21">
        <f>SUM(C123:C136)</f>
        <v>112100</v>
      </c>
      <c r="D122" s="21">
        <f>SUM(D123:D136)</f>
        <v>0</v>
      </c>
      <c r="E122" s="21">
        <f>SUM(E123:E136)</f>
        <v>112100</v>
      </c>
      <c r="F122" s="83">
        <f t="shared" si="12"/>
        <v>0</v>
      </c>
      <c r="G122" s="62">
        <f>SUM(G123:G136)</f>
        <v>110195.7</v>
      </c>
    </row>
    <row r="123" spans="1:7" x14ac:dyDescent="0.2">
      <c r="A123" s="15" t="s">
        <v>195</v>
      </c>
      <c r="B123" s="23">
        <v>200</v>
      </c>
      <c r="C123" s="23">
        <v>200</v>
      </c>
      <c r="D123" s="23"/>
      <c r="E123" s="23">
        <f>SUM(C123:D123)</f>
        <v>200</v>
      </c>
      <c r="F123" s="83">
        <f t="shared" si="12"/>
        <v>0</v>
      </c>
      <c r="G123" s="63">
        <f>SUM(14+20.76+16.3)</f>
        <v>51.06</v>
      </c>
    </row>
    <row r="124" spans="1:7" x14ac:dyDescent="0.2">
      <c r="A124" s="15" t="s">
        <v>150</v>
      </c>
      <c r="B124" s="23">
        <v>50000</v>
      </c>
      <c r="C124" s="23">
        <v>50000</v>
      </c>
      <c r="D124" s="23"/>
      <c r="E124" s="23">
        <f t="shared" ref="E124:E136" si="26">SUM(C124:D124)</f>
        <v>50000</v>
      </c>
      <c r="F124" s="83">
        <f t="shared" si="12"/>
        <v>0</v>
      </c>
      <c r="G124" s="63">
        <f>SUM(6072+35650+4480)</f>
        <v>46202</v>
      </c>
    </row>
    <row r="125" spans="1:7" x14ac:dyDescent="0.2">
      <c r="A125" s="15" t="s">
        <v>196</v>
      </c>
      <c r="B125" s="23">
        <v>46000</v>
      </c>
      <c r="C125" s="23">
        <v>43000</v>
      </c>
      <c r="D125" s="23"/>
      <c r="E125" s="23">
        <f t="shared" si="26"/>
        <v>43000</v>
      </c>
      <c r="F125" s="83">
        <f t="shared" si="12"/>
        <v>0</v>
      </c>
      <c r="G125" s="63">
        <v>28489.39</v>
      </c>
    </row>
    <row r="126" spans="1:7" x14ac:dyDescent="0.2">
      <c r="A126" s="15" t="s">
        <v>151</v>
      </c>
      <c r="B126" s="23">
        <v>1000</v>
      </c>
      <c r="C126" s="23">
        <v>1000</v>
      </c>
      <c r="D126" s="23"/>
      <c r="E126" s="23">
        <f t="shared" si="26"/>
        <v>1000</v>
      </c>
      <c r="F126" s="83">
        <f t="shared" si="12"/>
        <v>0</v>
      </c>
      <c r="G126" s="63">
        <v>110</v>
      </c>
    </row>
    <row r="127" spans="1:7" x14ac:dyDescent="0.2">
      <c r="A127" s="15" t="s">
        <v>152</v>
      </c>
      <c r="B127" s="23">
        <v>1000</v>
      </c>
      <c r="C127" s="23">
        <v>1000</v>
      </c>
      <c r="D127" s="23"/>
      <c r="E127" s="23">
        <f t="shared" si="26"/>
        <v>1000</v>
      </c>
      <c r="F127" s="83">
        <f t="shared" si="12"/>
        <v>0</v>
      </c>
      <c r="G127" s="63">
        <v>543.63</v>
      </c>
    </row>
    <row r="128" spans="1:7" x14ac:dyDescent="0.2">
      <c r="A128" s="15" t="s">
        <v>153</v>
      </c>
      <c r="B128" s="23">
        <v>200</v>
      </c>
      <c r="C128" s="23">
        <v>200</v>
      </c>
      <c r="D128" s="23"/>
      <c r="E128" s="23">
        <f t="shared" si="26"/>
        <v>200</v>
      </c>
      <c r="F128" s="83">
        <f t="shared" si="12"/>
        <v>0</v>
      </c>
      <c r="G128" s="63">
        <v>170.31</v>
      </c>
    </row>
    <row r="129" spans="1:7" x14ac:dyDescent="0.2">
      <c r="A129" s="15" t="s">
        <v>156</v>
      </c>
      <c r="B129" s="23">
        <v>4000</v>
      </c>
      <c r="C129" s="23">
        <v>4000</v>
      </c>
      <c r="D129" s="23"/>
      <c r="E129" s="23">
        <f t="shared" si="26"/>
        <v>4000</v>
      </c>
      <c r="F129" s="83">
        <f t="shared" si="12"/>
        <v>0</v>
      </c>
      <c r="G129" s="63">
        <f>SUM(3420.71)</f>
        <v>3420.71</v>
      </c>
    </row>
    <row r="130" spans="1:7" x14ac:dyDescent="0.2">
      <c r="A130" s="15" t="s">
        <v>157</v>
      </c>
      <c r="B130" s="23">
        <v>2000</v>
      </c>
      <c r="C130" s="23">
        <v>2000</v>
      </c>
      <c r="D130" s="23"/>
      <c r="E130" s="23">
        <f t="shared" si="26"/>
        <v>2000</v>
      </c>
      <c r="F130" s="83">
        <f t="shared" si="12"/>
        <v>0</v>
      </c>
      <c r="G130" s="63">
        <f>SUM(196.01+1114.27)</f>
        <v>1310.28</v>
      </c>
    </row>
    <row r="131" spans="1:7" x14ac:dyDescent="0.2">
      <c r="A131" s="15" t="s">
        <v>158</v>
      </c>
      <c r="B131" s="23">
        <v>4300</v>
      </c>
      <c r="C131" s="23">
        <v>4300</v>
      </c>
      <c r="D131" s="23"/>
      <c r="E131" s="23">
        <f t="shared" si="26"/>
        <v>4300</v>
      </c>
      <c r="F131" s="83">
        <f t="shared" si="12"/>
        <v>0</v>
      </c>
      <c r="G131" s="63">
        <v>4280.6400000000003</v>
      </c>
    </row>
    <row r="132" spans="1:7" x14ac:dyDescent="0.2">
      <c r="A132" s="15" t="s">
        <v>159</v>
      </c>
      <c r="B132" s="23">
        <v>500</v>
      </c>
      <c r="C132" s="23">
        <v>500</v>
      </c>
      <c r="D132" s="23"/>
      <c r="E132" s="23">
        <f t="shared" si="26"/>
        <v>500</v>
      </c>
      <c r="F132" s="83">
        <f t="shared" si="12"/>
        <v>0</v>
      </c>
      <c r="G132" s="63">
        <v>402.86</v>
      </c>
    </row>
    <row r="133" spans="1:7" x14ac:dyDescent="0.2">
      <c r="A133" s="15" t="s">
        <v>160</v>
      </c>
      <c r="B133" s="23">
        <v>1400</v>
      </c>
      <c r="C133" s="23">
        <v>1400</v>
      </c>
      <c r="D133" s="23"/>
      <c r="E133" s="23">
        <f t="shared" si="26"/>
        <v>1400</v>
      </c>
      <c r="F133" s="83">
        <f t="shared" si="12"/>
        <v>0</v>
      </c>
      <c r="G133" s="63">
        <v>1253.1600000000001</v>
      </c>
    </row>
    <row r="134" spans="1:7" x14ac:dyDescent="0.2">
      <c r="A134" s="15" t="s">
        <v>210</v>
      </c>
      <c r="B134" s="23">
        <v>3000</v>
      </c>
      <c r="C134" s="82">
        <v>1500</v>
      </c>
      <c r="D134" s="23"/>
      <c r="E134" s="23">
        <f t="shared" si="26"/>
        <v>1500</v>
      </c>
      <c r="F134" s="83">
        <f t="shared" ref="F134:F143" si="27">C134-E134</f>
        <v>0</v>
      </c>
      <c r="G134" s="63">
        <f>SUM(1650.82+14508.74)</f>
        <v>16159.56</v>
      </c>
    </row>
    <row r="135" spans="1:7" x14ac:dyDescent="0.2">
      <c r="A135" s="15" t="s">
        <v>211</v>
      </c>
      <c r="B135" s="23"/>
      <c r="C135" s="23"/>
      <c r="D135" s="23"/>
      <c r="E135" s="23"/>
      <c r="F135" s="83">
        <f t="shared" si="27"/>
        <v>0</v>
      </c>
      <c r="G135" s="63">
        <v>1359.23</v>
      </c>
    </row>
    <row r="136" spans="1:7" s="8" customFormat="1" x14ac:dyDescent="0.2">
      <c r="A136" s="15" t="s">
        <v>145</v>
      </c>
      <c r="B136" s="23">
        <v>3000</v>
      </c>
      <c r="C136" s="23">
        <v>3000</v>
      </c>
      <c r="D136" s="23"/>
      <c r="E136" s="23">
        <f t="shared" si="26"/>
        <v>3000</v>
      </c>
      <c r="F136" s="83">
        <f t="shared" si="27"/>
        <v>0</v>
      </c>
      <c r="G136" s="63">
        <f>SUM(-238.9+75+5144.24+82.79+1379.74)</f>
        <v>6442.87</v>
      </c>
    </row>
    <row r="137" spans="1:7" ht="15.75" x14ac:dyDescent="0.25">
      <c r="A137" s="13" t="s">
        <v>161</v>
      </c>
      <c r="B137" s="20">
        <f>SUM(B138:B140)</f>
        <v>14000</v>
      </c>
      <c r="C137" s="20">
        <f>SUM(C138:C140)</f>
        <v>9000</v>
      </c>
      <c r="D137" s="20">
        <f t="shared" ref="D137:E137" si="28">SUM(D138:D140)</f>
        <v>0</v>
      </c>
      <c r="E137" s="20">
        <f t="shared" si="28"/>
        <v>9000</v>
      </c>
      <c r="F137" s="83">
        <f t="shared" si="27"/>
        <v>0</v>
      </c>
      <c r="G137" s="61">
        <f>SUM(G138:G140)</f>
        <v>3825.57</v>
      </c>
    </row>
    <row r="138" spans="1:7" ht="42.75" x14ac:dyDescent="0.2">
      <c r="A138" s="51" t="s">
        <v>202</v>
      </c>
      <c r="B138" s="23">
        <v>6000</v>
      </c>
      <c r="C138" s="23">
        <v>6000</v>
      </c>
      <c r="D138" s="23"/>
      <c r="E138" s="23">
        <f>SUM(C138:D138)</f>
        <v>6000</v>
      </c>
      <c r="F138" s="83">
        <f t="shared" si="27"/>
        <v>0</v>
      </c>
      <c r="G138" s="63">
        <v>0</v>
      </c>
    </row>
    <row r="139" spans="1:7" ht="30.75" customHeight="1" x14ac:dyDescent="0.2">
      <c r="A139" s="51" t="s">
        <v>205</v>
      </c>
      <c r="B139" s="23">
        <v>6000</v>
      </c>
      <c r="C139" s="23">
        <v>2000</v>
      </c>
      <c r="D139" s="23"/>
      <c r="E139" s="23">
        <f t="shared" ref="E139:E140" si="29">SUM(C139:D139)</f>
        <v>2000</v>
      </c>
      <c r="F139" s="83">
        <f t="shared" si="27"/>
        <v>0</v>
      </c>
      <c r="G139" s="63">
        <f>SUM(552.66+547.26+541.83+536.39+530.91+525.41)</f>
        <v>3234.4599999999996</v>
      </c>
    </row>
    <row r="140" spans="1:7" x14ac:dyDescent="0.2">
      <c r="A140" s="52" t="s">
        <v>197</v>
      </c>
      <c r="B140" s="23">
        <v>2000</v>
      </c>
      <c r="C140" s="23">
        <v>1000</v>
      </c>
      <c r="D140" s="23"/>
      <c r="E140" s="23">
        <f t="shared" si="29"/>
        <v>1000</v>
      </c>
      <c r="F140" s="83">
        <f t="shared" si="27"/>
        <v>0</v>
      </c>
      <c r="G140" s="63">
        <f>SUM(3825.57-G139)</f>
        <v>591.11000000000058</v>
      </c>
    </row>
    <row r="141" spans="1:7" s="8" customFormat="1" ht="15.75" x14ac:dyDescent="0.25">
      <c r="A141" s="13" t="s">
        <v>166</v>
      </c>
      <c r="B141" s="20">
        <f>SUM(B40)</f>
        <v>1535000.1</v>
      </c>
      <c r="C141" s="20">
        <f>SUM(C40)</f>
        <v>1490500.1</v>
      </c>
      <c r="D141" s="20">
        <f>SUM(D40)</f>
        <v>37000</v>
      </c>
      <c r="E141" s="20">
        <f>SUM(E40)</f>
        <v>1527500.1</v>
      </c>
      <c r="F141" s="83">
        <f t="shared" si="27"/>
        <v>-37000</v>
      </c>
      <c r="G141" s="61">
        <f>SUM(G40)</f>
        <v>1306749.2599999998</v>
      </c>
    </row>
    <row r="142" spans="1:7" s="8" customFormat="1" ht="15.75" x14ac:dyDescent="0.25">
      <c r="A142" s="13" t="s">
        <v>167</v>
      </c>
      <c r="B142" s="20">
        <f>SUM(B137+B117+B116+B115+B77+B44)</f>
        <v>1532200</v>
      </c>
      <c r="C142" s="20">
        <f>SUM(C137+C117+C116+C115+C77+C44)</f>
        <v>1502700</v>
      </c>
      <c r="D142" s="20">
        <f>SUM(D137+D117+D116+D115+D77+D44)</f>
        <v>36000</v>
      </c>
      <c r="E142" s="20">
        <f>SUM(E137+E117+E116+E115+E77+E44)</f>
        <v>1535700</v>
      </c>
      <c r="F142" s="83">
        <f t="shared" si="27"/>
        <v>-33000</v>
      </c>
      <c r="G142" s="61">
        <f>SUM(G137+G117+G116+G115+G77+G44)</f>
        <v>1274275.4600000002</v>
      </c>
    </row>
    <row r="143" spans="1:7" s="8" customFormat="1" ht="15.75" x14ac:dyDescent="0.25">
      <c r="A143" s="13" t="s">
        <v>168</v>
      </c>
      <c r="B143" s="20">
        <f>SUM(B141-B142)</f>
        <v>2800.1000000000931</v>
      </c>
      <c r="C143" s="81">
        <f>SUM(C141-C142)</f>
        <v>-12199.899999999907</v>
      </c>
      <c r="D143" s="20">
        <f t="shared" ref="D143:E143" si="30">SUM(D141-D142)</f>
        <v>1000</v>
      </c>
      <c r="E143" s="20">
        <f t="shared" si="30"/>
        <v>-8199.8999999999069</v>
      </c>
      <c r="F143" s="83">
        <f t="shared" si="27"/>
        <v>-4000</v>
      </c>
      <c r="G143" s="61">
        <f>SUM(G141-G142)</f>
        <v>32473.799999999581</v>
      </c>
    </row>
    <row r="149" spans="1:2" x14ac:dyDescent="0.2">
      <c r="A149" s="25"/>
      <c r="B149" s="25"/>
    </row>
    <row r="150" spans="1:2" x14ac:dyDescent="0.2">
      <c r="A150" s="25"/>
      <c r="B150" s="25"/>
    </row>
    <row r="151" spans="1:2" x14ac:dyDescent="0.2">
      <c r="A151" s="25"/>
      <c r="B151" s="25"/>
    </row>
  </sheetData>
  <mergeCells count="1">
    <mergeCell ref="A2:E2"/>
  </mergeCells>
  <printOptions horizontalCentered="1" verticalCentered="1"/>
  <pageMargins left="0" right="0" top="0.19685039370078741" bottom="0.19685039370078741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6"/>
  <sheetViews>
    <sheetView showGridLines="0" showRowColHeaders="0" workbookViewId="0"/>
  </sheetViews>
  <sheetFormatPr defaultColWidth="9.28515625" defaultRowHeight="12.75" x14ac:dyDescent="0.2"/>
  <cols>
    <col min="1" max="1" width="5.140625" style="1" customWidth="1"/>
    <col min="2" max="7" width="17.5703125" style="1" customWidth="1"/>
    <col min="8" max="8" width="11.7109375" customWidth="1"/>
    <col min="9" max="9" width="21.5703125" style="2" customWidth="1"/>
    <col min="10" max="10" width="17.5703125" style="3" customWidth="1"/>
    <col min="11" max="16384" width="9.28515625" style="1"/>
  </cols>
  <sheetData>
    <row r="1" spans="1:10" x14ac:dyDescent="0.2">
      <c r="A1" s="1">
        <v>1</v>
      </c>
      <c r="B1" s="1" t="s">
        <v>25</v>
      </c>
      <c r="C1" s="1" t="s">
        <v>26</v>
      </c>
      <c r="D1" s="1" t="s">
        <v>16</v>
      </c>
      <c r="E1" s="1" t="s">
        <v>46</v>
      </c>
      <c r="F1" s="1" t="s">
        <v>28</v>
      </c>
      <c r="G1" s="1" t="s">
        <v>17</v>
      </c>
      <c r="H1" s="4" t="s">
        <v>19</v>
      </c>
      <c r="I1" s="2" t="s">
        <v>18</v>
      </c>
      <c r="J1" s="3" t="s">
        <v>30</v>
      </c>
    </row>
    <row r="2" spans="1:10" x14ac:dyDescent="0.2">
      <c r="A2" s="1" t="e">
        <f>#REF!</f>
        <v>#REF!</v>
      </c>
      <c r="B2" s="1" t="e">
        <f>#REF!</f>
        <v>#REF!</v>
      </c>
      <c r="C2" s="1" t="e">
        <f>#REF!</f>
        <v>#REF!</v>
      </c>
      <c r="D2" s="1">
        <v>0</v>
      </c>
      <c r="E2" s="1">
        <v>0</v>
      </c>
      <c r="F2" s="1" t="e">
        <f>(A2/100)*(B2*1+C2*2+D2*3+E2*4)</f>
        <v>#REF!</v>
      </c>
      <c r="G2" s="1" t="s">
        <v>29</v>
      </c>
      <c r="H2" s="5">
        <v>0</v>
      </c>
      <c r="I2" s="2" t="s">
        <v>37</v>
      </c>
      <c r="J2" s="3" t="e">
        <f>ABS(B2-ROUND(B2,0))+ABS(C2-ROUND(C2,0))+ABS(D2-ROUND(D2,0))+ABS(E2-ROUND(E2,0))</f>
        <v>#REF!</v>
      </c>
    </row>
    <row r="3" spans="1:10" x14ac:dyDescent="0.2">
      <c r="A3" s="1" t="e">
        <f>#REF!</f>
        <v>#REF!</v>
      </c>
      <c r="B3" s="1" t="e">
        <f>#REF!</f>
        <v>#REF!</v>
      </c>
      <c r="C3" s="1" t="e">
        <f>#REF!</f>
        <v>#REF!</v>
      </c>
      <c r="D3" s="1">
        <v>0</v>
      </c>
      <c r="E3" s="1">
        <v>0</v>
      </c>
      <c r="F3" s="1" t="e">
        <f t="shared" ref="F3:F46" si="0">(A3/100)*(B3*1+C3*2+D3*3+E3*4)</f>
        <v>#REF!</v>
      </c>
      <c r="G3" s="1" t="e">
        <f>IF(INT(VALUE(#REF!)) &gt; 0, TEXT(INT(VALUE(#REF!)),"00000000"), "0")</f>
        <v>#REF!</v>
      </c>
      <c r="I3" s="2" t="s">
        <v>38</v>
      </c>
      <c r="J3" s="3" t="e">
        <f t="shared" ref="J3:J46" si="1">ABS(B3-ROUND(B3,0))+ABS(C3-ROUND(C3,0))+ABS(D3-ROUND(D3,0))+ABS(E3-ROUND(E3,0))</f>
        <v>#REF!</v>
      </c>
    </row>
    <row r="4" spans="1:10" x14ac:dyDescent="0.2">
      <c r="A4" s="1" t="e">
        <f>#REF!</f>
        <v>#REF!</v>
      </c>
      <c r="B4" s="1" t="e">
        <f>#REF!</f>
        <v>#REF!</v>
      </c>
      <c r="C4" s="1" t="e">
        <f>#REF!</f>
        <v>#REF!</v>
      </c>
      <c r="D4" s="1">
        <v>0</v>
      </c>
      <c r="E4" s="1">
        <v>0</v>
      </c>
      <c r="F4" s="1" t="e">
        <f t="shared" si="0"/>
        <v>#REF!</v>
      </c>
      <c r="G4" s="1" t="str">
        <f>IF(ISERROR(#REF!),"-",UPPER(TRIM(#REF!)))</f>
        <v>-</v>
      </c>
      <c r="I4" s="2" t="s">
        <v>20</v>
      </c>
      <c r="J4" s="3" t="e">
        <f t="shared" si="1"/>
        <v>#REF!</v>
      </c>
    </row>
    <row r="5" spans="1:10" x14ac:dyDescent="0.2">
      <c r="A5" s="1" t="e">
        <f>#REF!</f>
        <v>#REF!</v>
      </c>
      <c r="B5" s="1" t="e">
        <f>#REF!</f>
        <v>#REF!</v>
      </c>
      <c r="C5" s="1" t="e">
        <f>#REF!</f>
        <v>#REF!</v>
      </c>
      <c r="D5" s="1">
        <v>0</v>
      </c>
      <c r="E5" s="1">
        <v>0</v>
      </c>
      <c r="F5" s="1" t="e">
        <f t="shared" si="0"/>
        <v>#REF!</v>
      </c>
      <c r="G5" s="1" t="str">
        <f>IF(ISERROR(#REF!),"00000",IF(ISNUMBER(#REF!),TEXT(#REF!,"00000"),"00000"))</f>
        <v>00000</v>
      </c>
      <c r="I5" s="2" t="s">
        <v>39</v>
      </c>
      <c r="J5" s="3" t="e">
        <f t="shared" si="1"/>
        <v>#REF!</v>
      </c>
    </row>
    <row r="6" spans="1:10" x14ac:dyDescent="0.2">
      <c r="A6" s="1" t="e">
        <f>#REF!</f>
        <v>#REF!</v>
      </c>
      <c r="B6" s="1" t="e">
        <f>#REF!</f>
        <v>#REF!</v>
      </c>
      <c r="C6" s="1" t="e">
        <f>#REF!</f>
        <v>#REF!</v>
      </c>
      <c r="D6" s="1">
        <v>0</v>
      </c>
      <c r="E6" s="1">
        <v>0</v>
      </c>
      <c r="F6" s="1" t="e">
        <f t="shared" si="0"/>
        <v>#REF!</v>
      </c>
      <c r="G6" s="1" t="str">
        <f>IF(ISERROR(#REF!),"-",UPPER(TRIM(#REF!)))</f>
        <v>-</v>
      </c>
      <c r="I6" s="2" t="s">
        <v>21</v>
      </c>
      <c r="J6" s="3" t="e">
        <f t="shared" si="1"/>
        <v>#REF!</v>
      </c>
    </row>
    <row r="7" spans="1:10" x14ac:dyDescent="0.2">
      <c r="A7" s="1" t="e">
        <f>#REF!</f>
        <v>#REF!</v>
      </c>
      <c r="B7" s="1" t="e">
        <f>#REF!</f>
        <v>#REF!</v>
      </c>
      <c r="C7" s="1" t="e">
        <f>#REF!</f>
        <v>#REF!</v>
      </c>
      <c r="D7" s="1">
        <v>0</v>
      </c>
      <c r="E7" s="1">
        <v>0</v>
      </c>
      <c r="F7" s="1" t="e">
        <f t="shared" si="0"/>
        <v>#REF!</v>
      </c>
      <c r="G7" s="1" t="str">
        <f>IF(ISERROR(#REF!),"-",UPPER(TRIM(#REF!)))</f>
        <v>-</v>
      </c>
      <c r="I7" s="2" t="s">
        <v>22</v>
      </c>
      <c r="J7" s="3" t="e">
        <f t="shared" si="1"/>
        <v>#REF!</v>
      </c>
    </row>
    <row r="8" spans="1:10" x14ac:dyDescent="0.2">
      <c r="A8" s="1" t="e">
        <f>#REF!</f>
        <v>#REF!</v>
      </c>
      <c r="B8" s="1" t="e">
        <f>#REF!</f>
        <v>#REF!</v>
      </c>
      <c r="C8" s="1" t="e">
        <f>#REF!</f>
        <v>#REF!</v>
      </c>
      <c r="D8" s="1">
        <v>0</v>
      </c>
      <c r="E8" s="1">
        <v>0</v>
      </c>
      <c r="F8" s="1" t="e">
        <f t="shared" si="0"/>
        <v>#REF!</v>
      </c>
      <c r="G8" s="1" t="e">
        <f>IF(INT(VALUE(#REF!))&gt;0,TEXT(INT(VALUE(#REF!)),"0000"), "0000")</f>
        <v>#REF!</v>
      </c>
      <c r="I8" s="2" t="s">
        <v>23</v>
      </c>
      <c r="J8" s="3" t="e">
        <f t="shared" si="1"/>
        <v>#REF!</v>
      </c>
    </row>
    <row r="9" spans="1:10" x14ac:dyDescent="0.2">
      <c r="A9" s="1" t="e">
        <f>#REF!</f>
        <v>#REF!</v>
      </c>
      <c r="B9" s="1" t="e">
        <f>#REF!</f>
        <v>#REF!</v>
      </c>
      <c r="C9" s="1" t="e">
        <f>#REF!</f>
        <v>#REF!</v>
      </c>
      <c r="D9" s="1">
        <v>0</v>
      </c>
      <c r="E9" s="1">
        <v>0</v>
      </c>
      <c r="F9" s="1" t="e">
        <f t="shared" si="0"/>
        <v>#REF!</v>
      </c>
      <c r="G9" s="1" t="str">
        <f>IF(ISERROR(#REF!),"00",IF(ISNUMBER(#REF!),TEXT(#REF!,"00"),"00"))</f>
        <v>00</v>
      </c>
      <c r="I9" s="2" t="s">
        <v>40</v>
      </c>
      <c r="J9" s="3" t="e">
        <f t="shared" si="1"/>
        <v>#REF!</v>
      </c>
    </row>
    <row r="10" spans="1:10" x14ac:dyDescent="0.2">
      <c r="A10" s="1" t="e">
        <f>#REF!</f>
        <v>#REF!</v>
      </c>
      <c r="B10" s="1" t="e">
        <f>#REF!</f>
        <v>#REF!</v>
      </c>
      <c r="C10" s="1" t="e">
        <f>#REF!</f>
        <v>#REF!</v>
      </c>
      <c r="D10" s="1">
        <v>0</v>
      </c>
      <c r="E10" s="1">
        <v>0</v>
      </c>
      <c r="F10" s="1" t="e">
        <f t="shared" si="0"/>
        <v>#REF!</v>
      </c>
      <c r="G10" s="1" t="str">
        <f>IF(ISERROR(#REF!),"000",IF(ISNUMBER(#REF!),TEXT(#REF!,"000"),"000"))</f>
        <v>000</v>
      </c>
      <c r="I10" s="2" t="s">
        <v>41</v>
      </c>
      <c r="J10" s="3" t="e">
        <f t="shared" si="1"/>
        <v>#REF!</v>
      </c>
    </row>
    <row r="11" spans="1:10" x14ac:dyDescent="0.2">
      <c r="A11" s="1" t="e">
        <f>#REF!</f>
        <v>#REF!</v>
      </c>
      <c r="B11" s="1" t="e">
        <f>#REF!</f>
        <v>#REF!</v>
      </c>
      <c r="C11" s="1" t="e">
        <f>#REF!</f>
        <v>#REF!</v>
      </c>
      <c r="D11" s="1">
        <v>0</v>
      </c>
      <c r="E11" s="1">
        <v>0</v>
      </c>
      <c r="F11" s="1" t="e">
        <f t="shared" si="0"/>
        <v>#REF!</v>
      </c>
      <c r="G11" s="1" t="s">
        <v>29</v>
      </c>
      <c r="I11" s="6" t="s">
        <v>5</v>
      </c>
      <c r="J11" s="3" t="e">
        <f t="shared" si="1"/>
        <v>#REF!</v>
      </c>
    </row>
    <row r="12" spans="1:10" x14ac:dyDescent="0.2">
      <c r="A12" s="1" t="e">
        <f>#REF!</f>
        <v>#REF!</v>
      </c>
      <c r="B12" s="1" t="e">
        <f>#REF!</f>
        <v>#REF!</v>
      </c>
      <c r="C12" s="1" t="e">
        <f>#REF!</f>
        <v>#REF!</v>
      </c>
      <c r="D12" s="1">
        <v>0</v>
      </c>
      <c r="E12" s="1">
        <v>0</v>
      </c>
      <c r="F12" s="1" t="e">
        <f t="shared" si="0"/>
        <v>#REF!</v>
      </c>
      <c r="G12" s="1" t="s">
        <v>29</v>
      </c>
      <c r="I12" s="6" t="s">
        <v>6</v>
      </c>
      <c r="J12" s="3" t="e">
        <f t="shared" si="1"/>
        <v>#REF!</v>
      </c>
    </row>
    <row r="13" spans="1:10" x14ac:dyDescent="0.2">
      <c r="A13" s="1" t="e">
        <f>#REF!</f>
        <v>#REF!</v>
      </c>
      <c r="B13" s="1" t="e">
        <f>#REF!</f>
        <v>#REF!</v>
      </c>
      <c r="C13" s="1" t="e">
        <f>#REF!</f>
        <v>#REF!</v>
      </c>
      <c r="D13" s="1">
        <v>0</v>
      </c>
      <c r="E13" s="1">
        <v>0</v>
      </c>
      <c r="F13" s="1" t="e">
        <f t="shared" si="0"/>
        <v>#REF!</v>
      </c>
      <c r="G13" s="1" t="s">
        <v>29</v>
      </c>
      <c r="I13" s="6" t="s">
        <v>7</v>
      </c>
      <c r="J13" s="3" t="e">
        <f t="shared" si="1"/>
        <v>#REF!</v>
      </c>
    </row>
    <row r="14" spans="1:10" x14ac:dyDescent="0.2">
      <c r="A14" s="1" t="e">
        <f>#REF!</f>
        <v>#REF!</v>
      </c>
      <c r="B14" s="1" t="e">
        <f>#REF!</f>
        <v>#REF!</v>
      </c>
      <c r="C14" s="1" t="e">
        <f>#REF!</f>
        <v>#REF!</v>
      </c>
      <c r="D14" s="1">
        <v>0</v>
      </c>
      <c r="E14" s="1">
        <v>0</v>
      </c>
      <c r="F14" s="1" t="e">
        <f t="shared" si="0"/>
        <v>#REF!</v>
      </c>
      <c r="G14" s="1" t="s">
        <v>29</v>
      </c>
      <c r="I14" s="6" t="s">
        <v>8</v>
      </c>
      <c r="J14" s="3" t="e">
        <f t="shared" si="1"/>
        <v>#REF!</v>
      </c>
    </row>
    <row r="15" spans="1:10" x14ac:dyDescent="0.2">
      <c r="A15" s="1" t="e">
        <f>#REF!</f>
        <v>#REF!</v>
      </c>
      <c r="B15" s="1" t="e">
        <f>#REF!</f>
        <v>#REF!</v>
      </c>
      <c r="C15" s="1" t="e">
        <f>#REF!</f>
        <v>#REF!</v>
      </c>
      <c r="D15" s="1">
        <v>0</v>
      </c>
      <c r="E15" s="1">
        <v>0</v>
      </c>
      <c r="F15" s="1" t="e">
        <f t="shared" si="0"/>
        <v>#REF!</v>
      </c>
      <c r="G15" s="1" t="s">
        <v>29</v>
      </c>
      <c r="I15" s="6" t="s">
        <v>9</v>
      </c>
      <c r="J15" s="3" t="e">
        <f t="shared" si="1"/>
        <v>#REF!</v>
      </c>
    </row>
    <row r="16" spans="1:10" x14ac:dyDescent="0.2">
      <c r="A16" s="1" t="e">
        <f>#REF!</f>
        <v>#REF!</v>
      </c>
      <c r="B16" s="1" t="e">
        <f>#REF!</f>
        <v>#REF!</v>
      </c>
      <c r="C16" s="1" t="e">
        <f>#REF!</f>
        <v>#REF!</v>
      </c>
      <c r="D16" s="1">
        <v>0</v>
      </c>
      <c r="E16" s="1">
        <v>0</v>
      </c>
      <c r="F16" s="1" t="e">
        <f t="shared" si="0"/>
        <v>#REF!</v>
      </c>
      <c r="G16" s="1" t="s">
        <v>29</v>
      </c>
      <c r="I16" s="6" t="s">
        <v>10</v>
      </c>
      <c r="J16" s="3" t="e">
        <f t="shared" si="1"/>
        <v>#REF!</v>
      </c>
    </row>
    <row r="17" spans="1:10" x14ac:dyDescent="0.2">
      <c r="A17" s="1" t="e">
        <f>#REF!</f>
        <v>#REF!</v>
      </c>
      <c r="B17" s="1" t="e">
        <f>#REF!</f>
        <v>#REF!</v>
      </c>
      <c r="C17" s="1" t="e">
        <f>#REF!</f>
        <v>#REF!</v>
      </c>
      <c r="D17" s="1">
        <v>0</v>
      </c>
      <c r="E17" s="1">
        <v>0</v>
      </c>
      <c r="F17" s="1" t="e">
        <f t="shared" si="0"/>
        <v>#REF!</v>
      </c>
      <c r="G17" s="1" t="s">
        <v>29</v>
      </c>
      <c r="I17" s="6" t="s">
        <v>42</v>
      </c>
      <c r="J17" s="3" t="e">
        <f t="shared" si="1"/>
        <v>#REF!</v>
      </c>
    </row>
    <row r="18" spans="1:10" x14ac:dyDescent="0.2">
      <c r="A18" s="1" t="e">
        <f>#REF!</f>
        <v>#REF!</v>
      </c>
      <c r="B18" s="1" t="e">
        <f>#REF!</f>
        <v>#REF!</v>
      </c>
      <c r="C18" s="1" t="e">
        <f>#REF!</f>
        <v>#REF!</v>
      </c>
      <c r="D18" s="1">
        <v>0</v>
      </c>
      <c r="E18" s="1">
        <v>0</v>
      </c>
      <c r="F18" s="1" t="e">
        <f t="shared" si="0"/>
        <v>#REF!</v>
      </c>
      <c r="G18" s="1" t="str">
        <f>IF(ISERROR(#REF!),"-",UPPER(TRIM(#REF!)))</f>
        <v>-</v>
      </c>
      <c r="I18" s="6" t="s">
        <v>43</v>
      </c>
      <c r="J18" s="3" t="e">
        <f t="shared" si="1"/>
        <v>#REF!</v>
      </c>
    </row>
    <row r="19" spans="1:10" x14ac:dyDescent="0.2">
      <c r="A19" s="1" t="e">
        <f>#REF!</f>
        <v>#REF!</v>
      </c>
      <c r="B19" s="1" t="e">
        <f>#REF!</f>
        <v>#REF!</v>
      </c>
      <c r="C19" s="1" t="e">
        <f>#REF!</f>
        <v>#REF!</v>
      </c>
      <c r="D19" s="1">
        <v>0</v>
      </c>
      <c r="E19" s="1">
        <v>0</v>
      </c>
      <c r="F19" s="1" t="e">
        <f t="shared" si="0"/>
        <v>#REF!</v>
      </c>
      <c r="I19" s="6" t="s">
        <v>44</v>
      </c>
      <c r="J19" s="3" t="e">
        <f t="shared" si="1"/>
        <v>#REF!</v>
      </c>
    </row>
    <row r="20" spans="1:10" x14ac:dyDescent="0.2">
      <c r="A20" s="1" t="e">
        <f>#REF!</f>
        <v>#REF!</v>
      </c>
      <c r="B20" s="1" t="e">
        <f>#REF!</f>
        <v>#REF!</v>
      </c>
      <c r="C20" s="1" t="e">
        <f>#REF!</f>
        <v>#REF!</v>
      </c>
      <c r="D20" s="1">
        <v>0</v>
      </c>
      <c r="E20" s="1">
        <v>0</v>
      </c>
      <c r="F20" s="1" t="e">
        <f t="shared" si="0"/>
        <v>#REF!</v>
      </c>
      <c r="G20" s="1" t="str">
        <f>IF(ISERROR(#REF!),"-",UPPER(TRIM(#REF!)))</f>
        <v>-</v>
      </c>
      <c r="I20" s="2" t="s">
        <v>24</v>
      </c>
      <c r="J20" s="3" t="e">
        <f t="shared" si="1"/>
        <v>#REF!</v>
      </c>
    </row>
    <row r="21" spans="1:10" x14ac:dyDescent="0.2">
      <c r="A21" s="1" t="e">
        <f>#REF!</f>
        <v>#REF!</v>
      </c>
      <c r="B21" s="1" t="e">
        <f>#REF!</f>
        <v>#REF!</v>
      </c>
      <c r="C21" s="1" t="e">
        <f>#REF!</f>
        <v>#REF!</v>
      </c>
      <c r="D21" s="1">
        <v>0</v>
      </c>
      <c r="E21" s="1">
        <v>0</v>
      </c>
      <c r="F21" s="1" t="e">
        <f t="shared" si="0"/>
        <v>#REF!</v>
      </c>
      <c r="G21" s="1" t="str">
        <f>IF(ISERROR(#REF!),"-",UPPER(TRIM(#REF!)))</f>
        <v>-</v>
      </c>
      <c r="I21" s="2" t="s">
        <v>1</v>
      </c>
      <c r="J21" s="3" t="e">
        <f t="shared" si="1"/>
        <v>#REF!</v>
      </c>
    </row>
    <row r="22" spans="1:10" x14ac:dyDescent="0.2">
      <c r="A22" s="1" t="e">
        <f>#REF!</f>
        <v>#REF!</v>
      </c>
      <c r="B22" s="1" t="e">
        <f>#REF!</f>
        <v>#REF!</v>
      </c>
      <c r="C22" s="1" t="e">
        <f>#REF!</f>
        <v>#REF!</v>
      </c>
      <c r="D22" s="1">
        <v>0</v>
      </c>
      <c r="E22" s="1">
        <v>0</v>
      </c>
      <c r="F22" s="1" t="e">
        <f t="shared" si="0"/>
        <v>#REF!</v>
      </c>
      <c r="G22" s="1" t="str">
        <f>IF(ISERROR(#REF!),"-",UPPER(TRIM(#REF!)))</f>
        <v>-</v>
      </c>
      <c r="I22" s="6" t="s">
        <v>11</v>
      </c>
      <c r="J22" s="3" t="e">
        <f t="shared" si="1"/>
        <v>#REF!</v>
      </c>
    </row>
    <row r="23" spans="1:10" x14ac:dyDescent="0.2">
      <c r="A23" s="1" t="e">
        <f>#REF!</f>
        <v>#REF!</v>
      </c>
      <c r="B23" s="1" t="e">
        <f>#REF!</f>
        <v>#REF!</v>
      </c>
      <c r="C23" s="1" t="e">
        <f>#REF!</f>
        <v>#REF!</v>
      </c>
      <c r="D23" s="1">
        <v>0</v>
      </c>
      <c r="E23" s="1">
        <v>0</v>
      </c>
      <c r="F23" s="1" t="e">
        <f t="shared" si="0"/>
        <v>#REF!</v>
      </c>
      <c r="G23" s="1" t="str">
        <f>IF(ISERROR(#REF!),"-",UPPER(TRIM(#REF!)))</f>
        <v>-</v>
      </c>
      <c r="I23" s="6" t="s">
        <v>12</v>
      </c>
      <c r="J23" s="3" t="e">
        <f t="shared" si="1"/>
        <v>#REF!</v>
      </c>
    </row>
    <row r="24" spans="1:10" x14ac:dyDescent="0.2">
      <c r="A24" s="1" t="e">
        <f>#REF!</f>
        <v>#REF!</v>
      </c>
      <c r="B24" s="1" t="e">
        <f>#REF!</f>
        <v>#REF!</v>
      </c>
      <c r="C24" s="1" t="e">
        <f>#REF!</f>
        <v>#REF!</v>
      </c>
      <c r="D24" s="1">
        <v>0</v>
      </c>
      <c r="E24" s="1">
        <v>0</v>
      </c>
      <c r="F24" s="1" t="e">
        <f t="shared" si="0"/>
        <v>#REF!</v>
      </c>
      <c r="I24" s="6" t="s">
        <v>13</v>
      </c>
      <c r="J24" s="3" t="e">
        <f t="shared" si="1"/>
        <v>#REF!</v>
      </c>
    </row>
    <row r="25" spans="1:10" x14ac:dyDescent="0.2">
      <c r="A25" s="1" t="e">
        <f>#REF!</f>
        <v>#REF!</v>
      </c>
      <c r="B25" s="1" t="e">
        <f>#REF!</f>
        <v>#REF!</v>
      </c>
      <c r="C25" s="1" t="e">
        <f>#REF!</f>
        <v>#REF!</v>
      </c>
      <c r="D25" s="1">
        <v>0</v>
      </c>
      <c r="E25" s="1">
        <v>0</v>
      </c>
      <c r="F25" s="1" t="e">
        <f t="shared" si="0"/>
        <v>#REF!</v>
      </c>
      <c r="I25" s="6" t="s">
        <v>14</v>
      </c>
      <c r="J25" s="3" t="e">
        <f t="shared" si="1"/>
        <v>#REF!</v>
      </c>
    </row>
    <row r="26" spans="1:10" x14ac:dyDescent="0.2">
      <c r="A26" s="1" t="e">
        <f>#REF!</f>
        <v>#REF!</v>
      </c>
      <c r="B26" s="1" t="e">
        <f>#REF!</f>
        <v>#REF!</v>
      </c>
      <c r="C26" s="1" t="e">
        <f>#REF!</f>
        <v>#REF!</v>
      </c>
      <c r="D26" s="1">
        <v>0</v>
      </c>
      <c r="E26" s="1">
        <v>0</v>
      </c>
      <c r="F26" s="1" t="e">
        <f t="shared" si="0"/>
        <v>#REF!</v>
      </c>
      <c r="G26" s="1" t="e">
        <f>MID(TRIM(#REF!),1,4)</f>
        <v>#REF!</v>
      </c>
      <c r="I26" s="2" t="s">
        <v>2</v>
      </c>
      <c r="J26" s="3" t="e">
        <f t="shared" si="1"/>
        <v>#REF!</v>
      </c>
    </row>
    <row r="27" spans="1:10" x14ac:dyDescent="0.2">
      <c r="A27" s="1" t="e">
        <f>#REF!</f>
        <v>#REF!</v>
      </c>
      <c r="B27" s="1" t="e">
        <f>#REF!</f>
        <v>#REF!</v>
      </c>
      <c r="C27" s="1" t="e">
        <f>#REF!</f>
        <v>#REF!</v>
      </c>
      <c r="D27" s="1">
        <v>0</v>
      </c>
      <c r="E27" s="1">
        <v>0</v>
      </c>
      <c r="F27" s="1" t="e">
        <f t="shared" si="0"/>
        <v>#REF!</v>
      </c>
      <c r="G27" s="7" t="e">
        <f>SUM(F2:F46)</f>
        <v>#REF!</v>
      </c>
      <c r="I27" s="2" t="s">
        <v>3</v>
      </c>
      <c r="J27" s="3" t="e">
        <f t="shared" si="1"/>
        <v>#REF!</v>
      </c>
    </row>
    <row r="28" spans="1:10" x14ac:dyDescent="0.2">
      <c r="A28" s="1" t="e">
        <f>#REF!</f>
        <v>#REF!</v>
      </c>
      <c r="B28" s="1" t="e">
        <f>#REF!</f>
        <v>#REF!</v>
      </c>
      <c r="C28" s="1" t="e">
        <f>#REF!</f>
        <v>#REF!</v>
      </c>
      <c r="D28" s="1">
        <v>0</v>
      </c>
      <c r="E28" s="1">
        <v>0</v>
      </c>
      <c r="F28" s="1" t="e">
        <f t="shared" si="0"/>
        <v>#REF!</v>
      </c>
      <c r="G28" s="1" t="s">
        <v>29</v>
      </c>
      <c r="H28" s="1"/>
      <c r="I28" s="2" t="s">
        <v>45</v>
      </c>
      <c r="J28" s="3" t="e">
        <f t="shared" si="1"/>
        <v>#REF!</v>
      </c>
    </row>
    <row r="29" spans="1:10" x14ac:dyDescent="0.2">
      <c r="A29" s="1" t="e">
        <f>#REF!</f>
        <v>#REF!</v>
      </c>
      <c r="B29" s="1" t="e">
        <f>#REF!</f>
        <v>#REF!</v>
      </c>
      <c r="C29" s="1" t="e">
        <f>#REF!</f>
        <v>#REF!</v>
      </c>
      <c r="D29" s="1">
        <v>0</v>
      </c>
      <c r="E29" s="1">
        <v>0</v>
      </c>
      <c r="F29" s="1" t="e">
        <f t="shared" si="0"/>
        <v>#REF!</v>
      </c>
      <c r="G29" s="1" t="e">
        <f>MID(TRIM(#REF!),6,2)</f>
        <v>#REF!</v>
      </c>
      <c r="I29" s="2" t="s">
        <v>4</v>
      </c>
      <c r="J29" s="3" t="e">
        <f t="shared" si="1"/>
        <v>#REF!</v>
      </c>
    </row>
    <row r="30" spans="1:10" x14ac:dyDescent="0.2">
      <c r="A30" s="1" t="e">
        <f>#REF!</f>
        <v>#REF!</v>
      </c>
      <c r="B30" s="1" t="e">
        <f>#REF!</f>
        <v>#REF!</v>
      </c>
      <c r="C30" s="1" t="e">
        <f>#REF!</f>
        <v>#REF!</v>
      </c>
      <c r="D30" s="1">
        <v>0</v>
      </c>
      <c r="E30" s="1">
        <v>0</v>
      </c>
      <c r="F30" s="1" t="e">
        <f t="shared" si="0"/>
        <v>#REF!</v>
      </c>
      <c r="G30" s="1">
        <v>406</v>
      </c>
      <c r="I30" s="2" t="s">
        <v>27</v>
      </c>
      <c r="J30" s="3" t="e">
        <f t="shared" si="1"/>
        <v>#REF!</v>
      </c>
    </row>
    <row r="31" spans="1:10" x14ac:dyDescent="0.2">
      <c r="A31" s="1" t="e">
        <f>#REF!</f>
        <v>#REF!</v>
      </c>
      <c r="B31" s="1" t="e">
        <f>#REF!</f>
        <v>#REF!</v>
      </c>
      <c r="C31" s="1" t="e">
        <f>#REF!</f>
        <v>#REF!</v>
      </c>
      <c r="D31" s="1">
        <v>0</v>
      </c>
      <c r="E31" s="1">
        <v>0</v>
      </c>
      <c r="F31" s="1" t="e">
        <f t="shared" si="0"/>
        <v>#REF!</v>
      </c>
      <c r="G31" s="1" t="s">
        <v>15</v>
      </c>
      <c r="I31" s="2" t="s">
        <v>36</v>
      </c>
      <c r="J31" s="3" t="e">
        <f t="shared" si="1"/>
        <v>#REF!</v>
      </c>
    </row>
    <row r="32" spans="1:10" x14ac:dyDescent="0.2">
      <c r="A32" s="1" t="e">
        <f>#REF!</f>
        <v>#REF!</v>
      </c>
      <c r="B32" s="1" t="e">
        <f>#REF!</f>
        <v>#REF!</v>
      </c>
      <c r="C32" s="1" t="e">
        <f>#REF!</f>
        <v>#REF!</v>
      </c>
      <c r="D32" s="1">
        <v>0</v>
      </c>
      <c r="E32" s="1">
        <v>0</v>
      </c>
      <c r="F32" s="1" t="e">
        <f t="shared" si="0"/>
        <v>#REF!</v>
      </c>
      <c r="G32" s="1" t="s">
        <v>29</v>
      </c>
      <c r="I32" s="2" t="s">
        <v>31</v>
      </c>
      <c r="J32" s="3" t="e">
        <f t="shared" si="1"/>
        <v>#REF!</v>
      </c>
    </row>
    <row r="33" spans="1:10" x14ac:dyDescent="0.2">
      <c r="A33" s="1" t="e">
        <f>#REF!</f>
        <v>#REF!</v>
      </c>
      <c r="B33" s="1" t="e">
        <f>#REF!</f>
        <v>#REF!</v>
      </c>
      <c r="C33" s="1" t="e">
        <f>#REF!</f>
        <v>#REF!</v>
      </c>
      <c r="D33" s="1">
        <v>0</v>
      </c>
      <c r="E33" s="1">
        <v>0</v>
      </c>
      <c r="F33" s="1" t="e">
        <f t="shared" si="0"/>
        <v>#REF!</v>
      </c>
      <c r="G33" s="1" t="s">
        <v>29</v>
      </c>
      <c r="I33" s="2" t="s">
        <v>32</v>
      </c>
      <c r="J33" s="3" t="e">
        <f t="shared" si="1"/>
        <v>#REF!</v>
      </c>
    </row>
    <row r="34" spans="1:10" x14ac:dyDescent="0.2">
      <c r="A34" s="1" t="e">
        <f>#REF!</f>
        <v>#REF!</v>
      </c>
      <c r="B34" s="1" t="e">
        <f>#REF!</f>
        <v>#REF!</v>
      </c>
      <c r="C34" s="1" t="e">
        <f>#REF!</f>
        <v>#REF!</v>
      </c>
      <c r="D34" s="1">
        <v>0</v>
      </c>
      <c r="E34" s="1">
        <v>0</v>
      </c>
      <c r="F34" s="1" t="e">
        <f t="shared" si="0"/>
        <v>#REF!</v>
      </c>
      <c r="G34" s="1" t="s">
        <v>29</v>
      </c>
      <c r="I34" s="2" t="s">
        <v>33</v>
      </c>
      <c r="J34" s="3" t="e">
        <f t="shared" si="1"/>
        <v>#REF!</v>
      </c>
    </row>
    <row r="35" spans="1:10" x14ac:dyDescent="0.2">
      <c r="A35" s="1" t="e">
        <f>#REF!</f>
        <v>#REF!</v>
      </c>
      <c r="B35" s="1" t="e">
        <f>#REF!</f>
        <v>#REF!</v>
      </c>
      <c r="C35" s="1" t="e">
        <f>#REF!</f>
        <v>#REF!</v>
      </c>
      <c r="D35" s="1">
        <v>0</v>
      </c>
      <c r="E35" s="1">
        <v>0</v>
      </c>
      <c r="F35" s="1" t="e">
        <f t="shared" si="0"/>
        <v>#REF!</v>
      </c>
      <c r="G35" s="1" t="s">
        <v>29</v>
      </c>
      <c r="I35" s="2" t="s">
        <v>34</v>
      </c>
      <c r="J35" s="3" t="e">
        <f t="shared" si="1"/>
        <v>#REF!</v>
      </c>
    </row>
    <row r="36" spans="1:10" x14ac:dyDescent="0.2">
      <c r="A36" s="1" t="e">
        <f>#REF!</f>
        <v>#REF!</v>
      </c>
      <c r="B36" s="1" t="e">
        <f>#REF!</f>
        <v>#REF!</v>
      </c>
      <c r="C36" s="1" t="e">
        <f>#REF!</f>
        <v>#REF!</v>
      </c>
      <c r="D36" s="1">
        <v>0</v>
      </c>
      <c r="E36" s="1">
        <v>0</v>
      </c>
      <c r="F36" s="1" t="e">
        <f t="shared" si="0"/>
        <v>#REF!</v>
      </c>
      <c r="G36" s="1" t="s">
        <v>29</v>
      </c>
      <c r="I36" s="2" t="s">
        <v>35</v>
      </c>
      <c r="J36" s="3" t="e">
        <f t="shared" si="1"/>
        <v>#REF!</v>
      </c>
    </row>
    <row r="37" spans="1:10" x14ac:dyDescent="0.2">
      <c r="A37" s="1" t="e">
        <f>#REF!</f>
        <v>#REF!</v>
      </c>
      <c r="B37" s="1" t="e">
        <f>#REF!</f>
        <v>#REF!</v>
      </c>
      <c r="C37" s="1" t="e">
        <f>#REF!</f>
        <v>#REF!</v>
      </c>
      <c r="D37" s="1">
        <v>0</v>
      </c>
      <c r="E37" s="1">
        <v>0</v>
      </c>
      <c r="F37" s="1" t="e">
        <f t="shared" si="0"/>
        <v>#REF!</v>
      </c>
      <c r="G37" s="1" t="e">
        <f>TEXT(10000 * SUM(J2:J46), "00000")</f>
        <v>#REF!</v>
      </c>
      <c r="I37" s="2" t="s">
        <v>47</v>
      </c>
      <c r="J37" s="3" t="e">
        <f t="shared" si="1"/>
        <v>#REF!</v>
      </c>
    </row>
    <row r="38" spans="1:10" x14ac:dyDescent="0.2">
      <c r="A38" s="1" t="e">
        <f>#REF!</f>
        <v>#REF!</v>
      </c>
      <c r="B38" s="1" t="e">
        <f>#REF!</f>
        <v>#REF!</v>
      </c>
      <c r="C38" s="1" t="e">
        <f>#REF!</f>
        <v>#REF!</v>
      </c>
      <c r="D38" s="1">
        <v>0</v>
      </c>
      <c r="E38" s="1">
        <v>0</v>
      </c>
      <c r="F38" s="1" t="e">
        <f t="shared" si="0"/>
        <v>#REF!</v>
      </c>
      <c r="G38" s="1" t="e">
        <f>IF(INT(VALUE(#REF!)) &gt; 0, TEXT(INT(VALUE(#REF!)),"00000000000"), "0")</f>
        <v>#REF!</v>
      </c>
      <c r="I38" s="2" t="s">
        <v>0</v>
      </c>
      <c r="J38" s="3" t="e">
        <f t="shared" si="1"/>
        <v>#REF!</v>
      </c>
    </row>
    <row r="39" spans="1:10" x14ac:dyDescent="0.2">
      <c r="A39" s="1" t="e">
        <f>#REF!</f>
        <v>#REF!</v>
      </c>
      <c r="B39" s="1" t="e">
        <f>#REF!</f>
        <v>#REF!</v>
      </c>
      <c r="C39" s="1" t="e">
        <f>#REF!</f>
        <v>#REF!</v>
      </c>
      <c r="D39" s="1">
        <v>0</v>
      </c>
      <c r="E39" s="1">
        <v>0</v>
      </c>
      <c r="F39" s="1" t="e">
        <f t="shared" si="0"/>
        <v>#REF!</v>
      </c>
      <c r="J39" s="3" t="e">
        <f t="shared" si="1"/>
        <v>#REF!</v>
      </c>
    </row>
    <row r="40" spans="1:10" x14ac:dyDescent="0.2">
      <c r="A40" s="1" t="e">
        <f>#REF!</f>
        <v>#REF!</v>
      </c>
      <c r="B40" s="1" t="e">
        <f>#REF!</f>
        <v>#REF!</v>
      </c>
      <c r="C40" s="1" t="e">
        <f>#REF!</f>
        <v>#REF!</v>
      </c>
      <c r="D40" s="1">
        <v>0</v>
      </c>
      <c r="E40" s="1">
        <v>0</v>
      </c>
      <c r="F40" s="1" t="e">
        <f t="shared" si="0"/>
        <v>#REF!</v>
      </c>
      <c r="J40" s="3" t="e">
        <f t="shared" si="1"/>
        <v>#REF!</v>
      </c>
    </row>
    <row r="41" spans="1:10" x14ac:dyDescent="0.2">
      <c r="A41" s="1" t="e">
        <f>#REF!</f>
        <v>#REF!</v>
      </c>
      <c r="B41" s="1" t="e">
        <f>#REF!</f>
        <v>#REF!</v>
      </c>
      <c r="C41" s="1" t="e">
        <f>#REF!</f>
        <v>#REF!</v>
      </c>
      <c r="D41" s="1">
        <v>0</v>
      </c>
      <c r="E41" s="1">
        <v>0</v>
      </c>
      <c r="F41" s="1" t="e">
        <f t="shared" si="0"/>
        <v>#REF!</v>
      </c>
      <c r="J41" s="3" t="e">
        <f t="shared" si="1"/>
        <v>#REF!</v>
      </c>
    </row>
    <row r="42" spans="1:10" x14ac:dyDescent="0.2">
      <c r="A42" s="1" t="e">
        <f>#REF!</f>
        <v>#REF!</v>
      </c>
      <c r="B42" s="1" t="e">
        <f>#REF!</f>
        <v>#REF!</v>
      </c>
      <c r="C42" s="1" t="e">
        <f>#REF!</f>
        <v>#REF!</v>
      </c>
      <c r="D42" s="1">
        <v>0</v>
      </c>
      <c r="E42" s="1">
        <v>0</v>
      </c>
      <c r="F42" s="1" t="e">
        <f t="shared" si="0"/>
        <v>#REF!</v>
      </c>
      <c r="J42" s="3" t="e">
        <f t="shared" si="1"/>
        <v>#REF!</v>
      </c>
    </row>
    <row r="43" spans="1:10" x14ac:dyDescent="0.2">
      <c r="A43" s="1" t="e">
        <f>#REF!</f>
        <v>#REF!</v>
      </c>
      <c r="B43" s="1" t="e">
        <f>#REF!</f>
        <v>#REF!</v>
      </c>
      <c r="C43" s="1" t="e">
        <f>#REF!</f>
        <v>#REF!</v>
      </c>
      <c r="D43" s="1">
        <v>0</v>
      </c>
      <c r="E43" s="1">
        <v>0</v>
      </c>
      <c r="F43" s="1" t="e">
        <f t="shared" si="0"/>
        <v>#REF!</v>
      </c>
      <c r="J43" s="3" t="e">
        <f t="shared" si="1"/>
        <v>#REF!</v>
      </c>
    </row>
    <row r="44" spans="1:10" x14ac:dyDescent="0.2">
      <c r="A44" s="1" t="e">
        <f>#REF!</f>
        <v>#REF!</v>
      </c>
      <c r="B44" s="1" t="e">
        <f>#REF!</f>
        <v>#REF!</v>
      </c>
      <c r="C44" s="1" t="e">
        <f>#REF!</f>
        <v>#REF!</v>
      </c>
      <c r="D44" s="1">
        <v>0</v>
      </c>
      <c r="E44" s="1">
        <v>0</v>
      </c>
      <c r="F44" s="1" t="e">
        <f t="shared" si="0"/>
        <v>#REF!</v>
      </c>
      <c r="J44" s="3" t="e">
        <f t="shared" si="1"/>
        <v>#REF!</v>
      </c>
    </row>
    <row r="45" spans="1:10" x14ac:dyDescent="0.2">
      <c r="A45" s="1" t="e">
        <f>#REF!</f>
        <v>#REF!</v>
      </c>
      <c r="B45" s="1" t="e">
        <f>#REF!</f>
        <v>#REF!</v>
      </c>
      <c r="C45" s="1" t="e">
        <f>#REF!</f>
        <v>#REF!</v>
      </c>
      <c r="D45" s="1">
        <v>0</v>
      </c>
      <c r="E45" s="1">
        <v>0</v>
      </c>
      <c r="F45" s="1" t="e">
        <f t="shared" si="0"/>
        <v>#REF!</v>
      </c>
      <c r="J45" s="3" t="e">
        <f t="shared" si="1"/>
        <v>#REF!</v>
      </c>
    </row>
    <row r="46" spans="1:10" x14ac:dyDescent="0.2">
      <c r="A46" s="1" t="e">
        <f>#REF!</f>
        <v>#REF!</v>
      </c>
      <c r="B46" s="1" t="e">
        <f>#REF!</f>
        <v>#REF!</v>
      </c>
      <c r="C46" s="1" t="e">
        <f>#REF!</f>
        <v>#REF!</v>
      </c>
      <c r="D46" s="1">
        <v>0</v>
      </c>
      <c r="E46" s="1">
        <v>0</v>
      </c>
      <c r="F46" s="1" t="e">
        <f t="shared" si="0"/>
        <v>#REF!</v>
      </c>
      <c r="J46" s="3" t="e">
        <f t="shared" si="1"/>
        <v>#REF!</v>
      </c>
    </row>
  </sheetData>
  <sheetProtection password="C79A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Plan 2025.</vt:lpstr>
      <vt:lpstr>Skračeni plan -za NO</vt:lpstr>
      <vt:lpstr>PLAN ZA OBJAVU</vt:lpstr>
      <vt:lpstr>II. izmjene Financijskog plana</vt:lpstr>
      <vt:lpstr>Plan 2025. (2)</vt:lpstr>
      <vt:lpstr>PraviPod</vt:lpstr>
      <vt:lpstr>'II. izmjene Financijskog plana'!Ispis_naslova</vt:lpstr>
      <vt:lpstr>'Plan 2025.'!Ispis_naslova</vt:lpstr>
      <vt:lpstr>'Plan 2025. (2)'!Ispis_naslova</vt:lpstr>
      <vt:lpstr>'PLAN ZA OBJAVU'!Ispis_naslova</vt:lpstr>
    </vt:vector>
  </TitlesOfParts>
  <Company>Zavod za platni promet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Server_statistike</dc:creator>
  <cp:lastModifiedBy>Mario Mikulić</cp:lastModifiedBy>
  <cp:lastPrinted>2025-10-14T10:58:22Z</cp:lastPrinted>
  <dcterms:created xsi:type="dcterms:W3CDTF">2001-11-21T09:32:18Z</dcterms:created>
  <dcterms:modified xsi:type="dcterms:W3CDTF">2025-10-14T10:58:33Z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